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tabRatio="882" firstSheet="9" activeTab="15"/>
  </bookViews>
  <sheets>
    <sheet name="Foglio1" sheetId="1" r:id="rId1"/>
    <sheet name="imm.immat. (NI1)" sheetId="2" r:id="rId2"/>
    <sheet name="imm.mater. (NI2)" sheetId="3" r:id="rId3"/>
    <sheet name="imm.finanz. (NI3)" sheetId="4" r:id="rId4"/>
    <sheet name="crediti (NI4)" sheetId="5" r:id="rId5"/>
    <sheet name="att.finanz.-disp.liq (NI5)" sheetId="6" r:id="rId6"/>
    <sheet name="patrim.netto (NI6)" sheetId="7" r:id="rId7"/>
    <sheet name="fondi (NI7)" sheetId="8" r:id="rId8"/>
    <sheet name="fondi (NI7 bis)" sheetId="9" r:id="rId9"/>
    <sheet name="debiti (NI8)" sheetId="10" r:id="rId10"/>
    <sheet name="comp.cr.dr. (NI9)" sheetId="11" r:id="rId11"/>
    <sheet name="ratei e risc. (NI10)" sheetId="12" r:id="rId12"/>
    <sheet name="cr.dr.infra (NI11)" sheetId="13" r:id="rId13"/>
    <sheet name="regione (N11-BIS)" sheetId="14" r:id="rId14"/>
    <sheet name="ric-costi infra. (NI12-a)" sheetId="15" r:id="rId15"/>
    <sheet name="ric-costi infra. (NI12-b)" sheetId="16" r:id="rId16"/>
    <sheet name="contributi (NI13)" sheetId="17" r:id="rId17"/>
    <sheet name="prest.SSN (NI14)" sheetId="18" r:id="rId18"/>
    <sheet name="Oneri Fin. (NI15)" sheetId="19" r:id="rId19"/>
    <sheet name="prov.e on.straord (NI16)" sheetId="20" r:id="rId20"/>
    <sheet name="personale (NI17-1)" sheetId="21" r:id="rId21"/>
    <sheet name="personale (NI17-2)" sheetId="22" r:id="rId22"/>
    <sheet name="Bilancio Delega (Tab. N.I. 18)" sheetId="23" r:id="rId23"/>
    <sheet name="rimanenze finali (N19)" sheetId="24" r:id="rId24"/>
  </sheets>
  <definedNames>
    <definedName name="_xlnm.Print_Area" localSheetId="22">'Bilancio Delega (Tab. N.I. 18)'!$A$1:$F$90</definedName>
    <definedName name="_xlnm.Print_Area" localSheetId="10">'comp.cr.dr. (NI9)'!$A$1:$E$54</definedName>
    <definedName name="_xlnm.Print_Area" localSheetId="16">'contributi (NI13)'!$A$1:$D$59</definedName>
    <definedName name="_xlnm.Print_Area" localSheetId="8">'fondi (NI7 bis)'!$A$1:$F$63</definedName>
    <definedName name="_xlnm.Print_Area" localSheetId="19">'prov.e on.straord (NI16)'!$A$1:$C$93</definedName>
    <definedName name="_xlnm.Print_Area" localSheetId="11">'ratei e risc. (NI10)'!$A$1:$C$39</definedName>
    <definedName name="_xlnm.Print_Titles" localSheetId="22">'Bilancio Delega (Tab. N.I. 18)'!$4:$4</definedName>
    <definedName name="_xlnm.Print_Titles" localSheetId="8">'fondi (NI7 bis)'!$4:$4</definedName>
    <definedName name="_xlnm.Print_Titles" localSheetId="21">'personale (NI17-2)'!$3:$3</definedName>
  </definedNames>
  <calcPr fullCalcOnLoad="1"/>
</workbook>
</file>

<file path=xl/sharedStrings.xml><?xml version="1.0" encoding="utf-8"?>
<sst xmlns="http://schemas.openxmlformats.org/spreadsheetml/2006/main" count="1139" uniqueCount="862">
  <si>
    <t>Sopravvenienze passive per mobilità sanitaria extraregionale 2012 - Attrazione</t>
  </si>
  <si>
    <t>Sopravvenienze attiva per mobilità sanitaria extraregionale 2012 - Fuga</t>
  </si>
  <si>
    <t>Sopravvenienze attiva per mobilità sanitaria extraregionale da strutture private</t>
  </si>
  <si>
    <t>Sopravvenienze attive v/terzi relative al personale</t>
  </si>
  <si>
    <t>Sopravvenienze attive v/terzi relative alle convenzioni con medici di base</t>
  </si>
  <si>
    <t>Sopravvenienze per contributi da Regione e Comuni anni 2012 e prec.ti</t>
  </si>
  <si>
    <t>Altre Insussistenze del passivo v/terzi</t>
  </si>
  <si>
    <t>- Economia fondi per accantonamenti  conto 230.900 altri accantonamenti 2012 e prec.ti</t>
  </si>
  <si>
    <t>- Economia per stralcio debiti v/Società assicurative</t>
  </si>
  <si>
    <t>Altr.contrib. c/eser. Da Reg.</t>
  </si>
  <si>
    <t>600.900.90</t>
  </si>
  <si>
    <t>Altre prestaz.ambul.</t>
  </si>
  <si>
    <t>Prev.Sic.ambienti lav.</t>
  </si>
  <si>
    <t>630.200.15</t>
  </si>
  <si>
    <t>Spese di registrazione</t>
  </si>
  <si>
    <t>650.600.20</t>
  </si>
  <si>
    <t>Donatori sangue</t>
  </si>
  <si>
    <t>350.400.20</t>
  </si>
  <si>
    <t>Sopravvenienze passive per adeguamento fondo c ause v/MMG</t>
  </si>
  <si>
    <t>630.250.40</t>
  </si>
  <si>
    <t>Accantonamento fondo per maggiori costi "Fuga extraregionale" 2013</t>
  </si>
  <si>
    <t>Fondi per rischi</t>
  </si>
  <si>
    <t>3  -  NOTA INTEGRATIVA 2014</t>
  </si>
  <si>
    <t>31.12.2014</t>
  </si>
  <si>
    <t>TOTALE AL 31.12.2014</t>
  </si>
  <si>
    <t>Finanziamenti aziendali</t>
  </si>
  <si>
    <t>Fondo perequativo privati</t>
  </si>
  <si>
    <t>Rimborso oneri per indennizzi L. 210/92</t>
  </si>
  <si>
    <t>Assistenza Penitenziaria</t>
  </si>
  <si>
    <t>Risorse aggiuntive "Elisoccorso" comparto</t>
  </si>
  <si>
    <t xml:space="preserve">Da Privati </t>
  </si>
  <si>
    <t>L. 284/97 - Finanz.to per prevenzione della cecità eriabilitazione (ciechi pluriminorati)</t>
  </si>
  <si>
    <t>Accordo Integrativo Regionale stralcio con Medici di Medicina Generale (Sopp.Attive)</t>
  </si>
  <si>
    <t>Prestazioni amministrative e gestionali "Rimborso RAR 2014"</t>
  </si>
  <si>
    <t>Sopravvenienze per minore spesa per acquisto beni e servizi</t>
  </si>
  <si>
    <t xml:space="preserve">   b) prestazioni ambulatoriali Extra area vasta</t>
  </si>
  <si>
    <t xml:space="preserve">   a) oggetto di compensazione regionale</t>
  </si>
  <si>
    <t xml:space="preserve">   b) prestazioni di ricovero extra area vasta</t>
  </si>
  <si>
    <t>D.L. 31/10/2002 N. 270 - Finanziamento per le funzioni in materia di Invalidità Civile annualità fino al 31.12.2013</t>
  </si>
  <si>
    <t>Finanziamento D.L.230/99 ART.8 - Prev. e Assistenza ai detenuti ed agli internati tossicodipendenti</t>
  </si>
  <si>
    <t>Finanziamento regionale progetto "Warehouse"</t>
  </si>
  <si>
    <t>Finanziamento regionale per rimborso  spese sostenute per visite fiscali su personale scolastico assente per malattia. Annualità 2012/2013</t>
  </si>
  <si>
    <t>Sgravio fiscale Irpeg anno 2000</t>
  </si>
  <si>
    <t xml:space="preserve">Sopravvenienze passive v/terzi relative ad utenze </t>
  </si>
  <si>
    <t>Compensi extra ACN</t>
  </si>
  <si>
    <t>N.I. 7-bis: I MOVIMENTI VERIFICATISI NELLE ALTRE VOCI DELLO STATO PATRIMONIALE:</t>
  </si>
  <si>
    <t>C/CAPITALE</t>
  </si>
  <si>
    <t>Saldo Contributo Regionale 2002 - quota ril. Aziendale</t>
  </si>
  <si>
    <t>Saldo Contributo Regionale 2003</t>
  </si>
  <si>
    <t>Saldo Contributo Regionale 2004</t>
  </si>
  <si>
    <t>Saldo Contributo Regionale 2005</t>
  </si>
  <si>
    <t>Saldo Contributo Regionale 2006</t>
  </si>
  <si>
    <t>Saldo Contributo Regionale 2007</t>
  </si>
  <si>
    <t>Saldo Contributo Regionale 2008</t>
  </si>
  <si>
    <t>Saldo Contributo interventi edili-impiantistici</t>
  </si>
  <si>
    <t>Saldo Contributo acquisto beni mobili</t>
  </si>
  <si>
    <t>Saldo Contributo Regionale 2010</t>
  </si>
  <si>
    <t>Saldo Contributo Regionale 2011</t>
  </si>
  <si>
    <t>Saldo Contributo Regionale 2012</t>
  </si>
  <si>
    <t>Conto capitale regionale: Cittadella della Salute</t>
  </si>
  <si>
    <t>Contributo Regionale 2013 per investimento 2014</t>
  </si>
  <si>
    <t>Contributo Regionale ex Casa Facca</t>
  </si>
  <si>
    <t>MOBILITA' EXTRA REGIONALE</t>
  </si>
  <si>
    <t>Saldo mobilità (pubblica e privata) 1998-2004</t>
  </si>
  <si>
    <t>Saldo mobilità (pubblica e privata) 2005-2010</t>
  </si>
  <si>
    <t>Saldo mobilità attrazione exreg. privati</t>
  </si>
  <si>
    <t>Saldo mobilità attrazione exreg. Privati 2014</t>
  </si>
  <si>
    <t>ALTRO</t>
  </si>
  <si>
    <t>Gest. Stralcio: Saldo finanziamento "Programmi ricerca epidemiologica" ex USL 11</t>
  </si>
  <si>
    <t>Progetto Sert saldo contributo per potenziamento dotazioni informatiche</t>
  </si>
  <si>
    <t>Rimborso per indennità abbattimento animali</t>
  </si>
  <si>
    <t>Credito per restituzione somma pagata non dovuta per pubblicazione bandi</t>
  </si>
  <si>
    <t>Saldo Progetto "Farmacologia"</t>
  </si>
  <si>
    <t>Finanziamento quote amm.to e Leasin</t>
  </si>
  <si>
    <t>Saldo Progetto "Fattorie Sociali"</t>
  </si>
  <si>
    <t>Saldo Progetto "Fattorie Sociali" 2014</t>
  </si>
  <si>
    <t xml:space="preserve">Saldo finanziamento "Progetto innovazione distretti" </t>
  </si>
  <si>
    <t>arrotondamenti partite</t>
  </si>
  <si>
    <t>Saldo fuga 2014</t>
  </si>
  <si>
    <t xml:space="preserve">ALTRO </t>
  </si>
  <si>
    <t>Restituzione parte finanziamento non utilizzato "non autosufficienti"</t>
  </si>
  <si>
    <t>2010/2011</t>
  </si>
  <si>
    <t>div.</t>
  </si>
  <si>
    <t>Trasferimento trattenute alle farmacia per zone terremotate Regione Abbruzzo</t>
  </si>
  <si>
    <t>Trasferimento disponibilità finanziamento contratto MMG</t>
  </si>
  <si>
    <t>Concessione utilizzo "acqua potabile"</t>
  </si>
  <si>
    <t>Trasferimento spese sovraziendali 2014 non utilizzate</t>
  </si>
  <si>
    <t>- Economia per stralcio debiti v/altri - servizi in delega</t>
  </si>
  <si>
    <t>- Economia per stralcio debiti v/altri soggetti passivi pubblici e privati</t>
  </si>
  <si>
    <t>N.I. 11 BIS: DETTAGLIO DEI CREDITI E DEI DEBITI VERSO REGIONE</t>
  </si>
  <si>
    <t>N.I.11. BIS. a :   i crediti</t>
  </si>
  <si>
    <t>DETTAGLIO CREDITI VS  REGIONE</t>
  </si>
  <si>
    <t>ANNO</t>
  </si>
  <si>
    <t>DOC.</t>
  </si>
  <si>
    <t>VOCE</t>
  </si>
  <si>
    <t xml:space="preserve">FATTURE EMETTERE </t>
  </si>
  <si>
    <t>N.I.11.BIS. b :   i debiti</t>
  </si>
  <si>
    <t>DETTAGLIO DEBITI VS REGIONE</t>
  </si>
  <si>
    <t>FATTURE DA RICEVERE</t>
  </si>
  <si>
    <t>N.I.3. -  MOVIMENTI DELLE IMMOBILIZZAZIONI : le immobilizzazioni finanziarie</t>
  </si>
  <si>
    <t>N.I.4.: I MOVIMENTI VERIFICATISI NELLE ALTRE VOCI DELLO STATO PATRIMONIALE: i crediti</t>
  </si>
  <si>
    <t xml:space="preserve">N.I.5: I MOVIMENTI VERIFICATISI NELLE ALTRE VOCI DELLO STATO PATRIMONIALE: </t>
  </si>
  <si>
    <t>N.I.6.: I MOVIMENTI VERIFICATISI NELLE ALTRE VOCI DELLO STATO PATRIMONIALE: il patrimonio netto</t>
  </si>
  <si>
    <t>N.I. 7. I MOVIMENTI VERIFICATISI NELLE ALTRE VOCI DELLO STATO PATRIMONIALE:</t>
  </si>
  <si>
    <t>N.I.8.: I MOVIMENTI VERIFICATISI NELLE ALTRE VOCI DELLO STATO PATRIMONIALE: i debiti</t>
  </si>
  <si>
    <t>N.I. 9.: LA COMPOSIZIONE DEI CREDITI E DEI DEBITI PER SCADENZA</t>
  </si>
  <si>
    <t>N.I.10.: DETTAGLIO DEI RATEI E DEI RISCONTI</t>
  </si>
  <si>
    <t>N.I. 11.: DETTAGLIO DEI CREDITI E DEI DEBITI VERSO AZIENDE DEL S.S.R.</t>
  </si>
  <si>
    <t>Irap pers.dip.</t>
  </si>
  <si>
    <t>530.150.10</t>
  </si>
  <si>
    <t>Sopravv. Attive</t>
  </si>
  <si>
    <t>670.100.15</t>
  </si>
  <si>
    <t>N.I.13.: I CONTRIBUTI IN CONTO ESERCIZIO</t>
  </si>
  <si>
    <t>N.I. 16.: DETTAGLIO DEI PROVENTI E DEGLI ONERI STRAORDINARI</t>
  </si>
  <si>
    <t>N.I. 17/1. : PERSONALE IN SERVIZIO: TABELLA DI SINTESI</t>
  </si>
  <si>
    <t>N.I. 17/2.:DETTAGLIO DEL NUMERO DI DIPENDENTI SUDDIVISI PER PROFILO PROFESSIONALE E RUOLO</t>
  </si>
  <si>
    <t>Sopravvenienze passive relative al personale  - dirigenza medica e veterinaria</t>
  </si>
  <si>
    <t>Sopravvenienze passive relative al personale  - dirigenza sanitaria e delle professioni sanitarie</t>
  </si>
  <si>
    <t>Sopravvenienze passive v/terzi relative all'acquisto prestazioni sanitarie da operatori accreditati</t>
  </si>
  <si>
    <t>SITUAZIONE AL 31.12.2014</t>
  </si>
  <si>
    <t>NUMERO MEDIO DI UNITA' 2014</t>
  </si>
  <si>
    <t>NUMERO MEDIO DI DIPENDENTI 2014</t>
  </si>
  <si>
    <t>ESERCIZIO 2014</t>
  </si>
  <si>
    <t>CONTO ECONOMICO ANNO 2014</t>
  </si>
  <si>
    <t>Risconto contributo Comuni per servizi in delega 2009-2014</t>
  </si>
  <si>
    <t xml:space="preserve">Canoni abbonamenti </t>
  </si>
  <si>
    <t>Sopravvenienza utilizzo finanziamento Regionale per maggiori oneri applicazione contratto medicina convenzionata di base</t>
  </si>
  <si>
    <t>Proventi sanzioni amministrative in materia di lavoro -</t>
  </si>
  <si>
    <t>- "Rimborso RAR 2014"</t>
  </si>
  <si>
    <t>Sopravvenienze passive derivanti dai costi per assistenza riabilitativa ed integrativa</t>
  </si>
  <si>
    <t>Sopravvenienze passive per conguaglio Ires 2012</t>
  </si>
  <si>
    <t>5% Legge Balduzzi su alp 2012/2013 psicologi-specialisti e personale dipendente</t>
  </si>
  <si>
    <t>5% Legge Balduzzi su alp 2012 psicologi-specialisti e personale dipendente</t>
  </si>
  <si>
    <t>Sopravvenienze passive v/terzi per assistenza farmaceutica convenzionata</t>
  </si>
  <si>
    <t>Programmatore</t>
  </si>
  <si>
    <t>Sopravveninenze per altri contributi "Servizi in delega"</t>
  </si>
  <si>
    <t>Altre sopravvenienze attive servizi in delega</t>
  </si>
  <si>
    <t>- Finanziamento Lavori di pubblica utilità</t>
  </si>
  <si>
    <t xml:space="preserve">- Altri progetti </t>
  </si>
  <si>
    <t xml:space="preserve">  c) prestazioni Pet</t>
  </si>
  <si>
    <t xml:space="preserve">  d) prestazioni ricerca donatori per trapianto midollo osseo</t>
  </si>
  <si>
    <t xml:space="preserve">   d) Quota Servizio Call Center</t>
  </si>
  <si>
    <t xml:space="preserve">   e)Quota Servizio Magazzino</t>
  </si>
  <si>
    <t>Quota totale per acquisto beni e servizi</t>
  </si>
  <si>
    <t>DIVERSI</t>
  </si>
  <si>
    <t>-  Altre prest.amm. e gestionali</t>
  </si>
  <si>
    <t>Arrotondamento</t>
  </si>
  <si>
    <t>Costi per prestazioni amministrative e gestionali "gestione CUP" DSC</t>
  </si>
  <si>
    <t>Costi per prestazioni amministrative e gestionali "gestioneMagazzino" DSC</t>
  </si>
  <si>
    <t>Contributi per altri progetti</t>
  </si>
  <si>
    <t>Finanziamento SISR</t>
  </si>
  <si>
    <t>Differenza per arr.to Euro da scema CE</t>
  </si>
  <si>
    <t>Materiali diagnostici, lastre RX, mezzi di contrasto per RX, carta per ECG, ECG, etc.</t>
  </si>
  <si>
    <t>Materiali per emodialisi per assistenza</t>
  </si>
  <si>
    <t>Prodotti dietetici</t>
  </si>
  <si>
    <t>Prodotti alimentari</t>
  </si>
  <si>
    <t>Altri prodotti</t>
  </si>
  <si>
    <t>Materiale didattico</t>
  </si>
  <si>
    <t>Materiali ed accessori non sanitari</t>
  </si>
  <si>
    <t>305.800.20</t>
  </si>
  <si>
    <t>410-420-430-440</t>
  </si>
  <si>
    <t>Rimborso oneri stipendiali per personale comandato "IN"</t>
  </si>
  <si>
    <t>650.200.15</t>
  </si>
  <si>
    <t>Verifiche impiantistiche</t>
  </si>
  <si>
    <t>630.200.50</t>
  </si>
  <si>
    <t>Erogazione servizio di mensa-lavaggio</t>
  </si>
  <si>
    <t>670.100.10</t>
  </si>
  <si>
    <t>Sopravvenienze attive v/Aziende Sanitarie Regionali</t>
  </si>
  <si>
    <t>670.100.17</t>
  </si>
  <si>
    <t>Altre sopp. Attive</t>
  </si>
  <si>
    <t>Altri rimborsi</t>
  </si>
  <si>
    <t>Presidi chirurugici</t>
  </si>
  <si>
    <t>Materiale di guardaroba</t>
  </si>
  <si>
    <t>Cancelleria</t>
  </si>
  <si>
    <t>Prestazioni ambulatoriale</t>
  </si>
  <si>
    <t>630.100.60</t>
  </si>
  <si>
    <t>650.200.55</t>
  </si>
  <si>
    <r>
      <t>Costi per prestazioni in regime di ricovero (Fatturati</t>
    </r>
    <r>
      <rPr>
        <i/>
        <sz val="10"/>
        <rFont val="Times New Roman"/>
        <family val="1"/>
      </rPr>
      <t>)</t>
    </r>
  </si>
  <si>
    <t>Costi per trasferimento contributi</t>
  </si>
  <si>
    <r>
      <t xml:space="preserve">Costi per prestazioni in regime di ricovero </t>
    </r>
    <r>
      <rPr>
        <i/>
        <sz val="10"/>
        <rFont val="Times New Roman"/>
        <family val="1"/>
      </rPr>
      <t>(DRG tetti)</t>
    </r>
  </si>
  <si>
    <r>
      <t xml:space="preserve">Costi per prestazioni in regime di ricovero </t>
    </r>
    <r>
      <rPr>
        <i/>
        <sz val="10"/>
        <rFont val="Times New Roman"/>
        <family val="1"/>
      </rPr>
      <t>(DRG fatturati)</t>
    </r>
  </si>
  <si>
    <t>Costi per prestazioni ambulatoriali e diagnostiche (tetti)</t>
  </si>
  <si>
    <t>Costi per prestazioni ambulatoriali e diagnostiche (fatturate)</t>
  </si>
  <si>
    <t>CONTRIBUTI PER RIMBORSO SPESE A VALENZA REGIONALE</t>
  </si>
  <si>
    <t>Progetto "Mediazione linguistica"</t>
  </si>
  <si>
    <t>L.R. 17/2008 art. 10 c. 81 "Finanziamento per l'avvio e al consolidamento di azioni integrate finalizzate allo sviluppo di fattorie sociali</t>
  </si>
  <si>
    <t>Da Amministrazioni statali</t>
  </si>
  <si>
    <t>Da comuni per l'avvio del "fondo per l'autonomia possibile"</t>
  </si>
  <si>
    <t>Da Provincia per attività socio assistenziale territoriale delegata</t>
  </si>
  <si>
    <t>Da Provincia  altri contributi</t>
  </si>
  <si>
    <t>Acquisto di distribuzione farmaci di File F,  distribuzione diretta e primo ciclo</t>
  </si>
  <si>
    <t>PRESTAZIONI DA STRUTTURE SANITARIE PRIVATE</t>
  </si>
  <si>
    <t>Sopravvenienze passive v/terzi relative all'acquisto di beni e servizi</t>
  </si>
  <si>
    <t>Rimborso per prestazioni di File F, distribuzione diretta e primo ciclo</t>
  </si>
  <si>
    <t>Consulenze sanitarie</t>
  </si>
  <si>
    <t>Consulenze non sanitarie</t>
  </si>
  <si>
    <t>Proventi per prestazioni libero professionali</t>
  </si>
  <si>
    <t>Prov. per prest. libero-professionali  - Consulenze (ex art. 55 c.1 lett. c) d) ed art. 57-58)</t>
  </si>
  <si>
    <t>Prestazioni ambulatoriali e diagnostiche</t>
  </si>
  <si>
    <t>Contributi d'esercizio finalizzati</t>
  </si>
  <si>
    <t>335.400.10</t>
  </si>
  <si>
    <t>335.400.20</t>
  </si>
  <si>
    <t>620.100.10</t>
  </si>
  <si>
    <t>620.100.20</t>
  </si>
  <si>
    <t>620.100.21</t>
  </si>
  <si>
    <t>620.100.23</t>
  </si>
  <si>
    <t>620.100.30</t>
  </si>
  <si>
    <t xml:space="preserve">Prestaz.amm.ve e gestionali  </t>
  </si>
  <si>
    <t>630.200.5</t>
  </si>
  <si>
    <t>Rette per ricoveri in RSA -</t>
  </si>
  <si>
    <t>650.200.90</t>
  </si>
  <si>
    <t xml:space="preserve">Formazione dip.ti e MMG </t>
  </si>
  <si>
    <t xml:space="preserve">Personale comandato </t>
  </si>
  <si>
    <t>Fatturate</t>
  </si>
  <si>
    <t>Rimb.spese per aggiornamento</t>
  </si>
  <si>
    <t>Bolli</t>
  </si>
  <si>
    <t xml:space="preserve">Servizio mensa </t>
  </si>
  <si>
    <t xml:space="preserve">Contributi ad enti Rimb.donaz.sangue - </t>
  </si>
  <si>
    <t xml:space="preserve">Personale religioso </t>
  </si>
  <si>
    <t>510.100.19</t>
  </si>
  <si>
    <t>Interessi attivi su depositi ed eccedenze di cassa</t>
  </si>
  <si>
    <t>Su depositi bancari</t>
  </si>
  <si>
    <t>Su depositi postali</t>
  </si>
  <si>
    <t>Interessi attivi su titoli</t>
  </si>
  <si>
    <t>Altri interessi attivi</t>
  </si>
  <si>
    <t>I MOVIMENTI DELLE IMMOBILIZZAZIONI : le immobilizzazioni immateriali</t>
  </si>
  <si>
    <t>IMMOBILIZZAZIONI IMMATERIALI</t>
  </si>
  <si>
    <t>DETERMINAZIONE VALORE INIZIALE</t>
  </si>
  <si>
    <t>MOVIMENTI DELL'ESERCIZIO</t>
  </si>
  <si>
    <t>VOCI</t>
  </si>
  <si>
    <t>Rivalutazioni</t>
  </si>
  <si>
    <t>Svalutazioni</t>
  </si>
  <si>
    <t>VALORE INIZIALE</t>
  </si>
  <si>
    <t>Acquisizioni</t>
  </si>
  <si>
    <t>Riclassificazioni</t>
  </si>
  <si>
    <t>VALORE FINALE</t>
  </si>
  <si>
    <t>Costi d'impianto e di ampliamento</t>
  </si>
  <si>
    <t xml:space="preserve">Costi di ricerca, sviluppo e di pubblicità </t>
  </si>
  <si>
    <t>Diritti di brevetto industriale e diritti di utilizzazione delle opere dell'ingegno</t>
  </si>
  <si>
    <t>Concess., licenze, marchi e diritti simili</t>
  </si>
  <si>
    <t>Altre immobilizzazioni immateriali</t>
  </si>
  <si>
    <t>I MOVIMENTI DELLE IMMOBILIZZAZIONI : le immobilizzazioni materiali</t>
  </si>
  <si>
    <t>IMMOBILIZZAZIONI MATERIALI</t>
  </si>
  <si>
    <t>Terreni</t>
  </si>
  <si>
    <t>Fabbricati</t>
  </si>
  <si>
    <t>Impianti e macchinario</t>
  </si>
  <si>
    <t>Attrezzature sanitarie</t>
  </si>
  <si>
    <t>Mobili e arredi</t>
  </si>
  <si>
    <t>Automezzi</t>
  </si>
  <si>
    <t>Altri beni</t>
  </si>
  <si>
    <t>Immobilizzazioni in corso e acconti</t>
  </si>
  <si>
    <t>IMMOBILIZZAZIONI FINANZIARIE</t>
  </si>
  <si>
    <t xml:space="preserve">Incrementi </t>
  </si>
  <si>
    <t>Decrementi</t>
  </si>
  <si>
    <t>CREDITI VERSO REGIONE</t>
  </si>
  <si>
    <t>Per contributi in c/capitale su gestioni pregresse</t>
  </si>
  <si>
    <t>Per contributi in c/capitale su gestioni liquidatorie</t>
  </si>
  <si>
    <t>Altri crediti</t>
  </si>
  <si>
    <t>CREDITI VERSO AZIENDE SANITARIE DELLA REGIONE</t>
  </si>
  <si>
    <t>CREDITI VERSO ALTRI</t>
  </si>
  <si>
    <t>TITOLI</t>
  </si>
  <si>
    <t>CREDITI</t>
  </si>
  <si>
    <t>Regione</t>
  </si>
  <si>
    <t>Agenzia regionale</t>
  </si>
  <si>
    <t>Amministrazioni pubbliche</t>
  </si>
  <si>
    <t>Comune</t>
  </si>
  <si>
    <t>Aziende sanitarie della Regione</t>
  </si>
  <si>
    <t>Aziende sanitarie extra-regionali</t>
  </si>
  <si>
    <t>Erario</t>
  </si>
  <si>
    <t>TOTALE CREDITI</t>
  </si>
  <si>
    <t>N.I.5.a :   Attività finanziarie che non costituiscono immobilizzazioni</t>
  </si>
  <si>
    <t>ATTIVITA' FINANZIARIE CHE NON COSTITUISCONO IMMOBILIZZAZIONI</t>
  </si>
  <si>
    <t>Titoli a breve</t>
  </si>
  <si>
    <t>N.I.5.b :   Disponibilità liquide</t>
  </si>
  <si>
    <t>DISPONIBILITA' LIQUIDE</t>
  </si>
  <si>
    <t>Cassa</t>
  </si>
  <si>
    <t>Istituto tesoriere</t>
  </si>
  <si>
    <t>Altri istituti di credito</t>
  </si>
  <si>
    <t>Banca d'Italia</t>
  </si>
  <si>
    <t>Depositi postali</t>
  </si>
  <si>
    <t>TOTALE DISPONIBILITA' LIQUIDE</t>
  </si>
  <si>
    <t>MOVIMENTAZIONI DELLE VOCI DI PATRIMONIO NETTO</t>
  </si>
  <si>
    <t>Incrementi</t>
  </si>
  <si>
    <t>Decrementi/Utilizzo a fronte ammortamenti</t>
  </si>
  <si>
    <t>Fondo di dotazione</t>
  </si>
  <si>
    <t xml:space="preserve">   Riserva per valutazione iniziale delle immobilizzazioni</t>
  </si>
  <si>
    <t xml:space="preserve">   Riserva per investimenti già impegnati nelle gestioni pregresse</t>
  </si>
  <si>
    <t xml:space="preserve">   Riserva per investimenti già impegnati nelle gestioni liquidatorie</t>
  </si>
  <si>
    <t xml:space="preserve">   Riserva per valutazione iniziale delle giacenze</t>
  </si>
  <si>
    <t xml:space="preserve">   Riserva /deficit per altre attività e passività iniziali</t>
  </si>
  <si>
    <t>Contributi c/capitale da Regione indistinti</t>
  </si>
  <si>
    <t>Contributi c/capitale da Regione vincolati</t>
  </si>
  <si>
    <t>Altri contributi in c/capitale</t>
  </si>
  <si>
    <t xml:space="preserve">   Contributi per rimborso mutui</t>
  </si>
  <si>
    <t xml:space="preserve">   Altri contributi</t>
  </si>
  <si>
    <t xml:space="preserve">Contributi per ripiani perdite </t>
  </si>
  <si>
    <t>Riserve di rivalutazione</t>
  </si>
  <si>
    <t>Altre riserve</t>
  </si>
  <si>
    <t xml:space="preserve">   Riserva per donazioni e lasciti</t>
  </si>
  <si>
    <t xml:space="preserve">   Altre riserve</t>
  </si>
  <si>
    <t>Utili (perdite) portati a nuovo</t>
  </si>
  <si>
    <t>Utile (perdita) dell'esercizio</t>
  </si>
  <si>
    <t>il fondo SUMAI e i fondi per rischi e oneri</t>
  </si>
  <si>
    <t>VARIAZIONE DEL FONDO SUMAI E DEI FONDI RISCHI E ONERI</t>
  </si>
  <si>
    <t>Accantonamenti</t>
  </si>
  <si>
    <t>Utilizzi</t>
  </si>
  <si>
    <t>FONDI RETTIFICATIVI DELLE ATTIVITÀ</t>
  </si>
  <si>
    <t>Fondo svalutazione immobilizzazioni</t>
  </si>
  <si>
    <t>Fondo svalutazione magazzino</t>
  </si>
  <si>
    <t>Fondo svalutazione crediti</t>
  </si>
  <si>
    <t>Altri fondi rettificativi delle attività</t>
  </si>
  <si>
    <t>FONDI PER RISCHI E ONERI</t>
  </si>
  <si>
    <t>Fondi per imposte</t>
  </si>
  <si>
    <t>Fondi per oneri al personale da liquidare</t>
  </si>
  <si>
    <t xml:space="preserve">   incentivazioni</t>
  </si>
  <si>
    <t xml:space="preserve">   straordinari</t>
  </si>
  <si>
    <t xml:space="preserve">   indennità di fine servizio &lt;12 mesi</t>
  </si>
  <si>
    <t xml:space="preserve">   equo indennizzo</t>
  </si>
  <si>
    <t xml:space="preserve">   oneri differiti per attività libero professionale</t>
  </si>
  <si>
    <t xml:space="preserve">   altri oneri da liquidare</t>
  </si>
  <si>
    <t xml:space="preserve">   rischi su liti, arbitraggi e risarcimenti</t>
  </si>
  <si>
    <t xml:space="preserve">   oneri per rinnovi contrattuali</t>
  </si>
  <si>
    <t>Altri fondi</t>
  </si>
  <si>
    <t>PREMIO DI OPEROSITA' MEDICI SUMAI</t>
  </si>
  <si>
    <t>DEBITI</t>
  </si>
  <si>
    <t>Mutui</t>
  </si>
  <si>
    <t xml:space="preserve">   Mutui - quota in scadenza oltre i 12 mesi</t>
  </si>
  <si>
    <t xml:space="preserve">   Mutui - quota in scadenza entro i 12 mesi</t>
  </si>
  <si>
    <t>Debiti verso Regione</t>
  </si>
  <si>
    <t>Debiti verso Agenzia Regionele</t>
  </si>
  <si>
    <t>Debiti verso comune</t>
  </si>
  <si>
    <t>Debiti verso aziende sanitarie della Regione</t>
  </si>
  <si>
    <t>Debiti verso aziende sanitarie extra-regionali</t>
  </si>
  <si>
    <t>Debiti verso fornitori</t>
  </si>
  <si>
    <t>Debiti verso istituti di credito</t>
  </si>
  <si>
    <t xml:space="preserve">   a) verso istituto tesoriere</t>
  </si>
  <si>
    <t xml:space="preserve">   b) verso altri istituti di credito</t>
  </si>
  <si>
    <t>Debiti verso personale</t>
  </si>
  <si>
    <t>Debiti tributari</t>
  </si>
  <si>
    <t>Debiti verso istituti di previdenza e di sicurezza sociale</t>
  </si>
  <si>
    <t>Altri debiti</t>
  </si>
  <si>
    <t>TOTALE DEBITI</t>
  </si>
  <si>
    <t>N.I.9.a :   La composizione dei crediti</t>
  </si>
  <si>
    <t>COMPOSIZIONE DEI CREDITI PER SCADENZA</t>
  </si>
  <si>
    <t>SCADENZA</t>
  </si>
  <si>
    <t>entro 1 anno</t>
  </si>
  <si>
    <t>tra 1 e 5 anni</t>
  </si>
  <si>
    <t>oltre 5 anni</t>
  </si>
  <si>
    <t>TOTALE</t>
  </si>
  <si>
    <t>Crediti da Regione</t>
  </si>
  <si>
    <t>Crediti da aziende sanitarie della Regione</t>
  </si>
  <si>
    <t>Crediti da altri</t>
  </si>
  <si>
    <t>TOT. CREDITI IMM. FINANZIARIE</t>
  </si>
  <si>
    <t>ATTIVO CIRCOLANTE</t>
  </si>
  <si>
    <t>Crediti da Agenzia Regionale</t>
  </si>
  <si>
    <t>Crediti da amministrazioni pubbliche</t>
  </si>
  <si>
    <t>Crediti da comune</t>
  </si>
  <si>
    <t>Crediti da aziende sanitarie extra-regionali</t>
  </si>
  <si>
    <t>Crediti da Erario</t>
  </si>
  <si>
    <t>TOT. CREDITI ATTIVO CIRCOLANTE</t>
  </si>
  <si>
    <t>N.I.9.b :   La composizione dei debiti</t>
  </si>
  <si>
    <t>COMPOSIZIONE DEI DEBITI PER SCADENZA</t>
  </si>
  <si>
    <t>Debiti verso Agenzia Regionale</t>
  </si>
  <si>
    <t>Debiti verso Comune</t>
  </si>
  <si>
    <t xml:space="preserve">  a) verso istituto tesoriere</t>
  </si>
  <si>
    <t xml:space="preserve">  b) verso altri istituti di credito</t>
  </si>
  <si>
    <t>Debiti vs. istituti di previdenza e di sicur. sociale</t>
  </si>
  <si>
    <t>RATEI ATTIVI</t>
  </si>
  <si>
    <t>PRECEDENTE</t>
  </si>
  <si>
    <t>RISCONTI ATTIVI</t>
  </si>
  <si>
    <t>RATEI PASSIVI</t>
  </si>
  <si>
    <t>RISCONTI PASSIVI</t>
  </si>
  <si>
    <t>A.S.S. 1</t>
  </si>
  <si>
    <t>A.S.S. 2</t>
  </si>
  <si>
    <t>A.S.S. 3</t>
  </si>
  <si>
    <t>A.S.S. 4</t>
  </si>
  <si>
    <t>A.S.S. 5</t>
  </si>
  <si>
    <t>A.S.S. 6</t>
  </si>
  <si>
    <t>Azienda ospedaliera s.Maria d.Angeli PN</t>
  </si>
  <si>
    <t>Azienda Ospedaliera OO.RR. Di Trieste</t>
  </si>
  <si>
    <t>C.R.O.</t>
  </si>
  <si>
    <t>DETTAGLIO DEBITI VS AZIENDE DEL S.S.R.</t>
  </si>
  <si>
    <t>N.I.12.a :   DETTAGLIO DEI RICAVI PER CESSIONE DI BENI E SERVIZI AD AZIENDE DEL SERVIZIO SANITARIO REGIONALE</t>
  </si>
  <si>
    <t>DETTAGLIO DEI RICAVI INFRAGRUPPO</t>
  </si>
  <si>
    <t>VOCI DI RICAVO</t>
  </si>
  <si>
    <t>ASS 1</t>
  </si>
  <si>
    <t>ASS 2</t>
  </si>
  <si>
    <t>ASS 3</t>
  </si>
  <si>
    <t>ASS 4</t>
  </si>
  <si>
    <t>ASS 5</t>
  </si>
  <si>
    <t>ASS 6</t>
  </si>
  <si>
    <t>A.O. TS</t>
  </si>
  <si>
    <t>A.O. PN</t>
  </si>
  <si>
    <t>BURLO G.</t>
  </si>
  <si>
    <t>RICAVI PER PRESTAZIONI</t>
  </si>
  <si>
    <t>Prestazioni in regime di ricovero</t>
  </si>
  <si>
    <t>Prestazioni amministrative e gestionali</t>
  </si>
  <si>
    <t>Consulenze</t>
  </si>
  <si>
    <t>ALTRI RICAVI</t>
  </si>
  <si>
    <t>TOTALE RICAVI INFRAGRUPPO</t>
  </si>
  <si>
    <t>N.I.12.b :   DETTAGLIO DEI COSTI PER ACQUISTI DI BENI E SERVIZI DA AZIENDE DEL SERVIZIO SANITARIO REGIONALE</t>
  </si>
  <si>
    <t>DETTAGLIO DEI COSTI INFRAGRUPPO</t>
  </si>
  <si>
    <t>VOCI DI COSTO</t>
  </si>
  <si>
    <t>COSTI PER PRESTAZIONI</t>
  </si>
  <si>
    <t>ALTRI COSTI</t>
  </si>
  <si>
    <t>TOTALE COSTI INFRAGRUPPO</t>
  </si>
  <si>
    <t>CONTRIBUTI D'ESERCIZIO</t>
  </si>
  <si>
    <t>CONTRIBUTI REGIONALI</t>
  </si>
  <si>
    <t>Quota capitaria</t>
  </si>
  <si>
    <t>Ricerca</t>
  </si>
  <si>
    <t>Didattica</t>
  </si>
  <si>
    <t>Revisione finanziamento</t>
  </si>
  <si>
    <t>N.I.14.a :   RICAVI PER PRESTAZIONI AD AZIENDE DEL SERVIZIO SANITARIO NAZIONALE</t>
  </si>
  <si>
    <t>RICAVI PER PRESTAZIONI AD AZIENDE DEL SERVIZIO SANITARIO NAZIONALE</t>
  </si>
  <si>
    <t>PRESTAZIONI AD AZIENDE SANITARIE DELLA REGIONE</t>
  </si>
  <si>
    <r>
      <t xml:space="preserve">Rimborso per prestazioni in regime di ricovero </t>
    </r>
    <r>
      <rPr>
        <i/>
        <sz val="10"/>
        <rFont val="Times New Roman"/>
        <family val="1"/>
      </rPr>
      <t>(DRG)</t>
    </r>
  </si>
  <si>
    <t>Rimborso per prestazioni ambulatoriali e diagnostiche</t>
  </si>
  <si>
    <t>PRESTAZIONI AD AZIENDE SANITARIE EXTRA REGIONALI</t>
  </si>
  <si>
    <t>N.I.14.b :   COSTI PER PRESTAZIONI DA AZIENDE DEL SERVIZIO SANITARIO NAZIONALE</t>
  </si>
  <si>
    <t>COSTI PER PRESTAZIONI DA AZIENDE DEL SERVIZIO SANITARIO NAZIONALE</t>
  </si>
  <si>
    <t>PRESTAZIONI DA AZIENDE SANITARIE DELLA REGIONE</t>
  </si>
  <si>
    <r>
      <t xml:space="preserve">Costi per prestazioni in regime di ricovero </t>
    </r>
    <r>
      <rPr>
        <i/>
        <sz val="10"/>
        <rFont val="Times New Roman"/>
        <family val="1"/>
      </rPr>
      <t>(DRG)</t>
    </r>
  </si>
  <si>
    <t>Costi per prestazioni ambulatoriali e diagnostiche</t>
  </si>
  <si>
    <t>Costi per prestazioni amministrative e gestionali</t>
  </si>
  <si>
    <t>PRESTAZIONI DA AZIENDE SANITARIE EXTRA REGIONALI</t>
  </si>
  <si>
    <t>TOTALE GENERALE</t>
  </si>
  <si>
    <t>Costo storico</t>
  </si>
  <si>
    <t>VARIAZIONE</t>
  </si>
  <si>
    <t>Fondo Ammortamento</t>
  </si>
  <si>
    <t>IMMOBILIZZATI</t>
  </si>
  <si>
    <t>CIRCOLANTI</t>
  </si>
  <si>
    <t>Dirigenti non medici</t>
  </si>
  <si>
    <t>Area del comparto</t>
  </si>
  <si>
    <t>Dirigenti</t>
  </si>
  <si>
    <t>TOTALE PERSONALE DIPENDENTE</t>
  </si>
  <si>
    <t>Personale esterno con contratto di diritto privato</t>
  </si>
  <si>
    <t>Alienazioni    e stralci*</t>
  </si>
  <si>
    <t>Riclassificazioni*</t>
  </si>
  <si>
    <t>Quota ammortamento</t>
  </si>
  <si>
    <t xml:space="preserve">   Altri</t>
  </si>
  <si>
    <t xml:space="preserve">   Deb. vs. amministrazioni pubbliche</t>
  </si>
  <si>
    <t>N.I.11.a :   i crediti</t>
  </si>
  <si>
    <t>N.I.11.b :   i debiti</t>
  </si>
  <si>
    <t>DETTAGLIO CREDITI VS. AZIENDE DEL S.S.R.</t>
  </si>
  <si>
    <t>Azienda ospedaliera s.Maria d. Angeli PN</t>
  </si>
  <si>
    <t>Complessità ("Funzioni" e "Contributo grandi ospedali")</t>
  </si>
  <si>
    <t>Dirigenti medici</t>
  </si>
  <si>
    <t>Totale ruolo sanitario</t>
  </si>
  <si>
    <t>Totale ruolo professionale</t>
  </si>
  <si>
    <t>Totale ruolo tecnico</t>
  </si>
  <si>
    <t>Totale ruolo amministrativo</t>
  </si>
  <si>
    <t>TOTALE PERSONALE DEI 4 RUOLI</t>
  </si>
  <si>
    <t>Medici</t>
  </si>
  <si>
    <t>Farmacisti</t>
  </si>
  <si>
    <t>Biologi</t>
  </si>
  <si>
    <t xml:space="preserve">Totale personale servizi in delega </t>
  </si>
  <si>
    <t xml:space="preserve">Personale universitario </t>
  </si>
  <si>
    <t>PROVENTI E ONERI STRAORDINARI</t>
  </si>
  <si>
    <t>PROVENTI</t>
  </si>
  <si>
    <t>Sopravvenienze attive</t>
  </si>
  <si>
    <t>Differenze attive di cambio</t>
  </si>
  <si>
    <t>ONERI</t>
  </si>
  <si>
    <t>Sopravvenienze passive</t>
  </si>
  <si>
    <t>Differenze passive di cambio</t>
  </si>
  <si>
    <t>Crediti verso dipendenti</t>
  </si>
  <si>
    <t>Locazione passive</t>
  </si>
  <si>
    <t>Spese condominiali</t>
  </si>
  <si>
    <t>Tassa circolazione automezzi</t>
  </si>
  <si>
    <t>Inter. pass. per antic. di tesoreria</t>
  </si>
  <si>
    <t>Inter. pass. su mutui</t>
  </si>
  <si>
    <t>Interessi passivi per altre forme di credito di cui art.3, comma 5</t>
  </si>
  <si>
    <t>lettera f), punto 2 d.lgs 502/92</t>
  </si>
  <si>
    <t>Spese bancarie</t>
  </si>
  <si>
    <t>Interessi moratori</t>
  </si>
  <si>
    <t>Interessi legali</t>
  </si>
  <si>
    <t>Spese di incasso</t>
  </si>
  <si>
    <t>Altri oneri finanziari</t>
  </si>
  <si>
    <t>Situazione al 30.9.1998</t>
  </si>
  <si>
    <t>vuota</t>
  </si>
  <si>
    <t>A)</t>
  </si>
  <si>
    <t>VALORE DELLA PRODUZIONE</t>
  </si>
  <si>
    <t>Contributi d'esercizio</t>
  </si>
  <si>
    <t xml:space="preserve">   a)Contributi dalla Regione</t>
  </si>
  <si>
    <t xml:space="preserve">   b) Altri contributi</t>
  </si>
  <si>
    <t xml:space="preserve">Ricavi per prestazioni ad aziende del SSN </t>
  </si>
  <si>
    <t xml:space="preserve">   a) Prestazioni in regime di ricovero</t>
  </si>
  <si>
    <t xml:space="preserve">   b) Prestazioni ambulatoriali e diagnostiche</t>
  </si>
  <si>
    <t xml:space="preserve">   c)  Altre prestazioni</t>
  </si>
  <si>
    <t>Ricavi per altre prestazioni</t>
  </si>
  <si>
    <t xml:space="preserve">   a) Compartecipazione alla spesa per prestazioni sanitarie</t>
  </si>
  <si>
    <t xml:space="preserve">   b) Concorsi, recuperi, rimborsi per attività tipiche</t>
  </si>
  <si>
    <t xml:space="preserve">   c) Altri ricavi propri operativi</t>
  </si>
  <si>
    <t xml:space="preserve">   d) Altri ricavi propri non operativi</t>
  </si>
  <si>
    <t>Costi capitalizzati</t>
  </si>
  <si>
    <t>Ricavi per servizi resi all'interno dell'Azienda</t>
  </si>
  <si>
    <t xml:space="preserve">TOTALE VALORE DELLA PRODUZIONE </t>
  </si>
  <si>
    <t>B)</t>
  </si>
  <si>
    <t>COSTI DELLA PRODUZIONE</t>
  </si>
  <si>
    <t>Acquisti di beni</t>
  </si>
  <si>
    <t xml:space="preserve">   a) Sanitari</t>
  </si>
  <si>
    <t xml:space="preserve">   b) Non sanitari</t>
  </si>
  <si>
    <t>Acquisti di servizi</t>
  </si>
  <si>
    <t xml:space="preserve">   c) Farmaceutica</t>
  </si>
  <si>
    <t xml:space="preserve">   d) Medicina di base</t>
  </si>
  <si>
    <t xml:space="preserve">   e) Altre convenzioni</t>
  </si>
  <si>
    <t xml:space="preserve">   f) servizi appaltati</t>
  </si>
  <si>
    <t xml:space="preserve">   g) manutenzioni</t>
  </si>
  <si>
    <t xml:space="preserve">   h) Utenze</t>
  </si>
  <si>
    <t xml:space="preserve">   i) Rimborsi-assegni, contributi e altri servizi</t>
  </si>
  <si>
    <t>Godimento di beni di terzi</t>
  </si>
  <si>
    <t>Costi del personale</t>
  </si>
  <si>
    <t xml:space="preserve">   a) Personale sanitario</t>
  </si>
  <si>
    <t xml:space="preserve">   b) Personale professionale</t>
  </si>
  <si>
    <t xml:space="preserve">   c) Personale tecnico</t>
  </si>
  <si>
    <t xml:space="preserve">   d) Personale amministrativo</t>
  </si>
  <si>
    <t xml:space="preserve">   e) Altri costi del personale</t>
  </si>
  <si>
    <t>Costi generali ed oneri diversi di gestione</t>
  </si>
  <si>
    <t>Ammortamenti e svalutazioni</t>
  </si>
  <si>
    <t xml:space="preserve">   a) ammortamento delle immobilizzazioni immateriali</t>
  </si>
  <si>
    <t xml:space="preserve">   b) ammortamento delle immobilizzazioni materiali</t>
  </si>
  <si>
    <t xml:space="preserve">   c) altre svalutazioni delle immobilizzazioni</t>
  </si>
  <si>
    <t xml:space="preserve">   d) svalutazione dei crediti e delle disponibilità liquide</t>
  </si>
  <si>
    <t>Accantonamenti per rischi</t>
  </si>
  <si>
    <t>Altri accantonamenti</t>
  </si>
  <si>
    <t>Costi per servizi acquisiti all'interno dell'Azienda</t>
  </si>
  <si>
    <t xml:space="preserve">TOTALE COSTI DELLA PRODUZIONE </t>
  </si>
  <si>
    <t>DIFFERENZA TRA VALORE E COSTI DELLA PRODUZ.</t>
  </si>
  <si>
    <t>C)</t>
  </si>
  <si>
    <t>PROVENTI E ONERI FINANZIARI</t>
  </si>
  <si>
    <t xml:space="preserve">Proventi </t>
  </si>
  <si>
    <t>Oneri</t>
  </si>
  <si>
    <t>TOTALE PROVENTI E ONERI FINANZIARI</t>
  </si>
  <si>
    <t>D)</t>
  </si>
  <si>
    <t>RETTIFICHE DI VALORE DI ATTIVITA' FINANZIARIE</t>
  </si>
  <si>
    <t>Rivalutazioni:</t>
  </si>
  <si>
    <t>Svalutazioni:</t>
  </si>
  <si>
    <t>TOTALE RETTIFICHE DI VALORE DI ATT. FINANZ.</t>
  </si>
  <si>
    <t>E)</t>
  </si>
  <si>
    <t>Proventi</t>
  </si>
  <si>
    <t>a) Plusvalenze</t>
  </si>
  <si>
    <t>b) Spravvenienze attive</t>
  </si>
  <si>
    <t>c) Insussistenze del passivo</t>
  </si>
  <si>
    <t>a) Minusvalenze</t>
  </si>
  <si>
    <t>b) Sopravvenienze passive</t>
  </si>
  <si>
    <t xml:space="preserve">c) Insussistenze dell'attivo </t>
  </si>
  <si>
    <t>TOTALE DELLE PARTITE STRAORDINARIE</t>
  </si>
  <si>
    <t>Acquisto beni strumentali</t>
  </si>
  <si>
    <t>NUMERO DI DIPENDENTI</t>
  </si>
  <si>
    <t>Chimici</t>
  </si>
  <si>
    <t>Veterinari</t>
  </si>
  <si>
    <t>Fisici</t>
  </si>
  <si>
    <t>Psicologi</t>
  </si>
  <si>
    <t>Collab.prof.san.esperto     DS</t>
  </si>
  <si>
    <t>Coll.prof.san.assist.sanit. D</t>
  </si>
  <si>
    <t>Coll.prof.san.infermiere ostetr.</t>
  </si>
  <si>
    <t xml:space="preserve">Coll.prof.san.infermiere </t>
  </si>
  <si>
    <t>Coll.prof.san.Tec.prev.amb.lavoro</t>
  </si>
  <si>
    <t>Coll.prof.san.educat.prof.le</t>
  </si>
  <si>
    <t>Coll.prof.san.fisiot.</t>
  </si>
  <si>
    <t>Coll.prof.san.massagg.non vedente</t>
  </si>
  <si>
    <t>Cool.prof.san.ortott.</t>
  </si>
  <si>
    <t>ingegneri</t>
  </si>
  <si>
    <t>sociologi</t>
  </si>
  <si>
    <t>assist.tecnico</t>
  </si>
  <si>
    <t>op.tec.spec.</t>
  </si>
  <si>
    <t>operat.tec.</t>
  </si>
  <si>
    <t>aus.spec.econ.</t>
  </si>
  <si>
    <t>aus.spec.assist.</t>
  </si>
  <si>
    <t>ota</t>
  </si>
  <si>
    <t>dirett.amm.vi</t>
  </si>
  <si>
    <t>coll.amm.vo esp.</t>
  </si>
  <si>
    <t>coll.amm.vo prof.</t>
  </si>
  <si>
    <t>assist.amm.vo</t>
  </si>
  <si>
    <t>coad.amm.vo</t>
  </si>
  <si>
    <t>commesso</t>
  </si>
  <si>
    <t>Totale</t>
  </si>
  <si>
    <t>Inssusistenze dell'attivo</t>
  </si>
  <si>
    <r>
      <t xml:space="preserve">Rimborso per prestazioni in regime di ricovero </t>
    </r>
    <r>
      <rPr>
        <i/>
        <sz val="10"/>
        <rFont val="Times New Roman"/>
        <family val="1"/>
      </rPr>
      <t>(DRG) ATTRAZIONE PRIVATI</t>
    </r>
  </si>
  <si>
    <t>Rimborso per prestazioni ambulatoriali e diagnostiche attrazione privati</t>
  </si>
  <si>
    <t xml:space="preserve">Rimborso per prestazioni ambulatoriali </t>
  </si>
  <si>
    <t xml:space="preserve">Rimborso per altre prestazioni </t>
  </si>
  <si>
    <r>
      <t xml:space="preserve">Costi per prestazioni in regime di ricovero </t>
    </r>
    <r>
      <rPr>
        <i/>
        <sz val="10"/>
        <rFont val="Times New Roman"/>
        <family val="1"/>
      </rPr>
      <t>(DRG mobilità)</t>
    </r>
  </si>
  <si>
    <r>
      <t xml:space="preserve">Costi per prestazioni in regime di ricovero </t>
    </r>
    <r>
      <rPr>
        <i/>
        <sz val="10"/>
        <rFont val="Times New Roman"/>
        <family val="1"/>
      </rPr>
      <t>(DRG) attrazione privari</t>
    </r>
  </si>
  <si>
    <t xml:space="preserve">Costi  per prestazioni ambulatoriali </t>
  </si>
  <si>
    <t>Costi per prestazioni ambulatoriali e diagnostiche attrazione privati</t>
  </si>
  <si>
    <t xml:space="preserve">Costi per altre prestazioni </t>
  </si>
  <si>
    <t>Costi per prestazioni ambulatoriali e diagnostiche proprie</t>
  </si>
  <si>
    <t>L.R. 67/88 - Non autosufficienti</t>
  </si>
  <si>
    <t>Contributi per attività sociale delegata</t>
  </si>
  <si>
    <t>Da comuni per attività socio assistenziale territoriale delegata</t>
  </si>
  <si>
    <t xml:space="preserve">AZIENDA PER I SERVIZI SANITARI N. 6 "FRIULI OCCIDENTALE" </t>
  </si>
  <si>
    <t>Ingegneri Dirigenti</t>
  </si>
  <si>
    <t>avvoc.e proc.legali</t>
  </si>
  <si>
    <t>Coll. Tecnico professionale</t>
  </si>
  <si>
    <t>Coad. amm.vo esperto</t>
  </si>
  <si>
    <t>Coll.prof.san.dietistsa</t>
  </si>
  <si>
    <t>Coll.prof.san.infermiere pediatrico</t>
  </si>
  <si>
    <t>Coll.prof.san.logopedista</t>
  </si>
  <si>
    <t>Coll.prof.san.audiometrista</t>
  </si>
  <si>
    <t>Coll. Prof. Assistente sociale esperto</t>
  </si>
  <si>
    <t>Coll.prof.assistente sociale</t>
  </si>
  <si>
    <t>o.s.s.</t>
  </si>
  <si>
    <t>Dirigente sanitario art. 15 sept</t>
  </si>
  <si>
    <t>Totale area dirigenza</t>
  </si>
  <si>
    <t>Area Dirigenza</t>
  </si>
  <si>
    <t>Totale area comparto sanitario</t>
  </si>
  <si>
    <t>Costi per prestazioni "fornitura farmaci 1' cliclo di cure"</t>
  </si>
  <si>
    <t>Contributi in conto esercizio da altri Enti</t>
  </si>
  <si>
    <t>Interventi finalizzati per progetti diversi</t>
  </si>
  <si>
    <t>Costi per prestazioni PET</t>
  </si>
  <si>
    <t>Premi assicurativi</t>
  </si>
  <si>
    <t>UTILE (PERDITA) DELL'ESERCIZIO CORRENTE</t>
  </si>
  <si>
    <t>UTILE (PERDITA) DELL'ESERCIZIO COMPLESSIVO</t>
  </si>
  <si>
    <t xml:space="preserve"> Crediti verso privati</t>
  </si>
  <si>
    <t xml:space="preserve">   a) Prestazioni amm.ve e gestionali</t>
  </si>
  <si>
    <t>Rimborso per prestazioni ambulatoriali e diagnostiche fatturate</t>
  </si>
  <si>
    <t>Costi per prestazioni ambulatoriali screening</t>
  </si>
  <si>
    <t xml:space="preserve">   altre competenze accessorie</t>
  </si>
  <si>
    <t xml:space="preserve">   oneri personale in quiescenza</t>
  </si>
  <si>
    <t>Risorse aggiuntive comparto</t>
  </si>
  <si>
    <t>Risorse aggiuntive dirigenza</t>
  </si>
  <si>
    <t>Rimborso bolli (650.200.15)</t>
  </si>
  <si>
    <r>
      <t xml:space="preserve">   </t>
    </r>
    <r>
      <rPr>
        <i/>
        <sz val="8"/>
        <rFont val="Times New Roman"/>
        <family val="0"/>
      </rPr>
      <t>b) 1'  ciclo di cura quota amm.va</t>
    </r>
  </si>
  <si>
    <t>Da comuni altri contributi</t>
  </si>
  <si>
    <t>- Rimborso gestioni miste</t>
  </si>
  <si>
    <r>
      <t xml:space="preserve">   c</t>
    </r>
    <r>
      <rPr>
        <i/>
        <sz val="8"/>
        <rFont val="Times New Roman"/>
        <family val="0"/>
      </rPr>
      <t>) Quota gestione servizi misti</t>
    </r>
  </si>
  <si>
    <t>Costi per prestazioni amministrative e gestionali 1' ciclo di cura</t>
  </si>
  <si>
    <r>
      <t xml:space="preserve">Costi per prestazioni in regime di ricovero </t>
    </r>
    <r>
      <rPr>
        <i/>
        <sz val="10"/>
        <rFont val="Times New Roman"/>
        <family val="1"/>
      </rPr>
      <t>(DRG) ricoveri fatturati</t>
    </r>
  </si>
  <si>
    <t>Costi  per prestazioni ambulatoriali fatturate</t>
  </si>
  <si>
    <t>Prestazioni amministrative e gestionali "gestioni miste"</t>
  </si>
  <si>
    <t>Arrotondamenti, sconti ed abbuoni passivi</t>
  </si>
  <si>
    <t>Arrotondamenti, sconti ed abbuoni attivi</t>
  </si>
  <si>
    <t>- Attività di consulenza</t>
  </si>
  <si>
    <t>Aziende Sanitarie Regionali</t>
  </si>
  <si>
    <t>- Costi per utenza gas</t>
  </si>
  <si>
    <t>- Costi per utenza telefono</t>
  </si>
  <si>
    <t>- Costi per assistenza protesica</t>
  </si>
  <si>
    <t>- Costi per utenza acqua</t>
  </si>
  <si>
    <t xml:space="preserve">Totale </t>
  </si>
  <si>
    <t>Infermiere generico esperto cat. C</t>
  </si>
  <si>
    <t>Puericultrice esperta</t>
  </si>
  <si>
    <t>Infermiere psichiatrico esperto cat. C</t>
  </si>
  <si>
    <t>Operatore tecnico specializzato</t>
  </si>
  <si>
    <t>Operatore tecnico specializzato esperto</t>
  </si>
  <si>
    <t>Tasse governative</t>
  </si>
  <si>
    <t>Centro servizi Condivisi</t>
  </si>
  <si>
    <t>Altri</t>
  </si>
  <si>
    <t>Sopravvenienze passive derivanti dai costi dei  Servizi in delega</t>
  </si>
  <si>
    <t>- 1'  ciclo di cura quota amm.va</t>
  </si>
  <si>
    <t>Ricavi per prestazioni "fornitura farmaci 1' cliclo di cure"</t>
  </si>
  <si>
    <t>Ricavi per prestazioni "fornitura farmaci 1' cliclo di cure" quota amm.va</t>
  </si>
  <si>
    <t>- Altri beni</t>
  </si>
  <si>
    <t>- Manut.straord. su beni di terzi</t>
  </si>
  <si>
    <t>Utilizzo fondo</t>
  </si>
  <si>
    <t>Saldo</t>
  </si>
  <si>
    <t>Utilizzo fondi</t>
  </si>
  <si>
    <t>Programma sorveglianza epidemiologica e virologica dell'influenza stagione 2005/2006 Medici sentinella</t>
  </si>
  <si>
    <t>Screening mammografico</t>
  </si>
  <si>
    <t xml:space="preserve"> - Progetti specifici</t>
  </si>
  <si>
    <t>Rimborso oneri personale</t>
  </si>
  <si>
    <t>Altre sopravvenienze attive</t>
  </si>
  <si>
    <t>Sopravvenienze passive derivanti dai maggiori oneri per il personale</t>
  </si>
  <si>
    <t>Altre Sopravvenienze passive</t>
  </si>
  <si>
    <t>A.O.UNIV UD</t>
  </si>
  <si>
    <t>Azienda Ospedaliero Universitaria Udine</t>
  </si>
  <si>
    <t>Differenza arrotondamento Euro</t>
  </si>
  <si>
    <t>Altri fondi (*)</t>
  </si>
  <si>
    <t xml:space="preserve">  Medici di Medicina Generale</t>
  </si>
  <si>
    <t xml:space="preserve">  Fondo qualita' dei MMG</t>
  </si>
  <si>
    <t xml:space="preserve">  Fondo ponderazione dei MMG</t>
  </si>
  <si>
    <t xml:space="preserve">  Premi Direttori</t>
  </si>
  <si>
    <t xml:space="preserve">  Premi Direttori di struttura</t>
  </si>
  <si>
    <t xml:space="preserve">  Premi Revisori</t>
  </si>
  <si>
    <t>Differenza per arr.to Euro</t>
  </si>
  <si>
    <t>Debiti verso Centro servizi Condivisi</t>
  </si>
  <si>
    <t>Contributo quota TUC strutture private</t>
  </si>
  <si>
    <t xml:space="preserve">Costi per ricerca donatori midollo osseo </t>
  </si>
  <si>
    <t>Costi per prestazioni amministrative e gestionali "gestioni miste" AOSMA</t>
  </si>
  <si>
    <t>- Economia fondi accantonamti per personale dipendente</t>
  </si>
  <si>
    <t>- Economia fondi accantonamti per MMG</t>
  </si>
  <si>
    <t>- Economia fondi accantonamti per Medicina Convenzionata</t>
  </si>
  <si>
    <t xml:space="preserve">Stralcio credito  con riporto a credito a competenza v/Regione per finanziamento  conguaglio attrazione extraregionale e privati per variazione tariffaria (TUC) - </t>
  </si>
  <si>
    <t>- Economia fondi accantonamti per liti</t>
  </si>
  <si>
    <t>Differenza per arr.toEuro</t>
  </si>
  <si>
    <t>Fabbricati (*)</t>
  </si>
  <si>
    <t>Fondo spese tecniche non coperte da finanziamento</t>
  </si>
  <si>
    <t>Canoni noleggio hardware</t>
  </si>
  <si>
    <t>Canoni leasing</t>
  </si>
  <si>
    <t>- Costi per spese condominiali</t>
  </si>
  <si>
    <t>- Costi per smaltimento rifiuti</t>
  </si>
  <si>
    <t>- Costi per Leasing</t>
  </si>
  <si>
    <t>Rimborsi per altre prestazioni (fatturate)</t>
  </si>
  <si>
    <t>- Economia fondi accantonamti per personale dei Servizi in delega</t>
  </si>
  <si>
    <t>Sopravvenienze passive derivanti dai maggiori oneri per personale Servizi in delega</t>
  </si>
  <si>
    <t>dir.amm.vo art.15 sept.</t>
  </si>
  <si>
    <t>Ricoveri fatturati</t>
  </si>
  <si>
    <t>I.R.C.C.S. Pediatrico Burlo Garofolo</t>
  </si>
  <si>
    <t>- Costi per spese noleggio hardwere</t>
  </si>
  <si>
    <t>- Procreazione medicalmente assistitta assistitta</t>
  </si>
  <si>
    <t>- Costi per rette</t>
  </si>
  <si>
    <t>- Costi per tasse comunali</t>
  </si>
  <si>
    <t>- Differenza per arr.to Euro</t>
  </si>
  <si>
    <t>Differnza per arr.to Euro</t>
  </si>
  <si>
    <t>Contributi comunali "Fondo autonomia possibile"</t>
  </si>
  <si>
    <t>- Progetto sperimentale innovativo per la riorganizzazione dei consultori familiari DGR 452/2008 all. B</t>
  </si>
  <si>
    <t>- Percorso nascite</t>
  </si>
  <si>
    <t>- Progetto Mediazione linguistica</t>
  </si>
  <si>
    <t>- Costi per prestazioni ambulatoriale</t>
  </si>
  <si>
    <t xml:space="preserve">Contributo T.U.C. privati </t>
  </si>
  <si>
    <t>Finanziamento progetto screening test HPV</t>
  </si>
  <si>
    <t>Finanziamento attività extratetto strutture sanitarie private</t>
  </si>
  <si>
    <t>Finanziamento vaccinazione antipneumococcoca e antimeningococcica</t>
  </si>
  <si>
    <t>Finanziamento oneri personale comandato presso DCS</t>
  </si>
  <si>
    <t>conto coge</t>
  </si>
  <si>
    <t>335.100.10</t>
  </si>
  <si>
    <t>335.100.20</t>
  </si>
  <si>
    <t>Stralcio di altri crediti v/Regione</t>
  </si>
  <si>
    <t xml:space="preserve">Stralcio crediti riferiti ai servizi in delega </t>
  </si>
  <si>
    <t xml:space="preserve">Stralcio di altri crediti </t>
  </si>
  <si>
    <t>- Economia fondi accantonamti per cause v/personale dipendente</t>
  </si>
  <si>
    <t>- Economia per stralcio debiti v/fornitori</t>
  </si>
  <si>
    <t>Soppravvenienze da Aziende Sanitarie Regionali</t>
  </si>
  <si>
    <t>Sopravvenienze per recupero spesa farmaceutica</t>
  </si>
  <si>
    <t>Proventi per prestazioni sanitarie</t>
  </si>
  <si>
    <t>Sopravvenienze per maggiori oneri Specialisti Convenzionati</t>
  </si>
  <si>
    <t xml:space="preserve">Sopravvenienze per acquisto di bene e servizi </t>
  </si>
  <si>
    <t>Sopravvenienze passive derivanti dai maggiori oneri per il personale esterno</t>
  </si>
  <si>
    <t>Fondo compensi per AIR</t>
  </si>
  <si>
    <t>Fondo compensi per AIA</t>
  </si>
  <si>
    <t>Fondo per la formazione</t>
  </si>
  <si>
    <t xml:space="preserve">  Oneri Enpam</t>
  </si>
  <si>
    <t>Medici Pediatri di libera scelta</t>
  </si>
  <si>
    <t>Fondo per Regione Abruzzo colpita da Sisma</t>
  </si>
  <si>
    <t>Fondo per Regione Abruzzo colpita da Sisma da farmacie</t>
  </si>
  <si>
    <t>Docenza personale esterno da formazione</t>
  </si>
  <si>
    <t>Fondo ponderazione medici specialisti</t>
  </si>
  <si>
    <t>Fondo compensi AIR medici specialisti</t>
  </si>
  <si>
    <t>Compensi medici specialisti</t>
  </si>
  <si>
    <t>Oneri medici specialisti</t>
  </si>
  <si>
    <t>Compensi medici psicologi</t>
  </si>
  <si>
    <t>Oneri medici psicologi</t>
  </si>
  <si>
    <t>PROVENTI ED ONERI FINANZIARI</t>
  </si>
  <si>
    <t>Dipartimento Servizi Condivisi -AO Udine</t>
  </si>
  <si>
    <t xml:space="preserve">Dgr 12/2/2008 n. 452, All B - Progetti Sperimentali innovativi per la riorganizzazione dei consultori familiari </t>
  </si>
  <si>
    <t xml:space="preserve">Da altri Enti </t>
  </si>
  <si>
    <t>Contributi per attività sovraziendali delegate - "ente gestore"</t>
  </si>
  <si>
    <t>- Economia per stralcio debiti v/fornitori - servizi in delega</t>
  </si>
  <si>
    <t>Stralcio di altri crediti v/Aziende Sanitarie della Regione</t>
  </si>
  <si>
    <t>- Stralcio crediti  - "vertenza interessi bancari"</t>
  </si>
  <si>
    <t>Sopravvenienze per maggiori oneri applicazione contratto medicina convenzionata di base</t>
  </si>
  <si>
    <r>
      <t xml:space="preserve">Costi per prestazioni in regime di ricovero </t>
    </r>
    <r>
      <rPr>
        <i/>
        <sz val="10"/>
        <rFont val="Times New Roman"/>
        <family val="1"/>
      </rPr>
      <t>(DRG regressione)</t>
    </r>
  </si>
  <si>
    <t>Costi per prestazioni ambulatoriali e diagnostiche (regressione</t>
  </si>
  <si>
    <t>Progetto "Luoghi della Salute"</t>
  </si>
  <si>
    <t>Risconto contributo da privati "Sevizi in delga"</t>
  </si>
  <si>
    <t>D.S.C.</t>
  </si>
  <si>
    <t>Prodotti farmaceutici</t>
  </si>
  <si>
    <t>450.200.10</t>
  </si>
  <si>
    <t>Prodotti sanitari per uso veterinario</t>
  </si>
  <si>
    <t>Mat. diagnostici/prodotti chimici per assist.</t>
  </si>
  <si>
    <t>Fondo per rinnovo contrattuali pers.le "Servizi in delega"</t>
  </si>
  <si>
    <t>Fondo ponderazione medici psicologi</t>
  </si>
  <si>
    <t>Fondo compensi medici sentinella</t>
  </si>
  <si>
    <t>Compensi extra derivanti da accordi nazionali e AIR</t>
  </si>
  <si>
    <t>Totale  Medici di Medicina Generale</t>
  </si>
  <si>
    <t>Oneri Enpam</t>
  </si>
  <si>
    <t>Totale  Medici Pediatri di libera scelta</t>
  </si>
  <si>
    <t>Specialistica Convenzionata</t>
  </si>
  <si>
    <t>Totale Specialistica Convenzionata</t>
  </si>
  <si>
    <t>Organi Direttivi</t>
  </si>
  <si>
    <t>Totale Organi Direttivi</t>
  </si>
  <si>
    <t>Totale Fondo per Regione Abruzzo</t>
  </si>
  <si>
    <t>Fondo per Regione Abruzzo</t>
  </si>
  <si>
    <t>Sopravvenienzeper recupero spese legali</t>
  </si>
  <si>
    <t>Insussistenze del passivo</t>
  </si>
  <si>
    <t>Sopravvenienze per acquisto di beni e servizi sanitari e socioassistenziali</t>
  </si>
  <si>
    <t>Rimborso oneri personale dei Servizi in delega</t>
  </si>
  <si>
    <t>Sopravvenienze per recupero sinistri</t>
  </si>
  <si>
    <t>Sopravvenienze per acquisto di bene e servizi Servizi in delega</t>
  </si>
  <si>
    <t>Coll.prof.san.tec.educ.Riab.psich.</t>
  </si>
  <si>
    <t>Coll.prof.san.terap.della neuroe Psich.</t>
  </si>
  <si>
    <t>N.I.15 :  DETTAGLIO PRVENTI ED ONERI FINANZIARI</t>
  </si>
  <si>
    <t>TABELLA N.I.18 (Attività socio assistenziali territoriali delegate dai comuni)</t>
  </si>
  <si>
    <t xml:space="preserve">  Fondo ponderazione dei PLS</t>
  </si>
  <si>
    <t xml:space="preserve">  Fondo qualita' dei PLS </t>
  </si>
  <si>
    <t>Compensi per emergenza territoiale</t>
  </si>
  <si>
    <t>Compensi da accordi regionali - coordinatori AFT</t>
  </si>
  <si>
    <t>Materiali protesici</t>
  </si>
  <si>
    <t>Materiali ed accessori sanitari</t>
  </si>
  <si>
    <t>305.800.10</t>
  </si>
  <si>
    <t>Altre sopravv. - prestaz. Sanitarie</t>
  </si>
  <si>
    <t>510.100.90</t>
  </si>
  <si>
    <t>Consulenze legali</t>
  </si>
  <si>
    <t>Altre spese legali</t>
  </si>
  <si>
    <t>Abbonamenti e riviste</t>
  </si>
  <si>
    <t>Altre spese gen e amm.ve</t>
  </si>
  <si>
    <t>Attività sovraziendali delegate</t>
  </si>
  <si>
    <t>Rimb. Altre prest.ambul. Non soggette a comp.</t>
  </si>
  <si>
    <t>620.250.50</t>
  </si>
  <si>
    <t>Contributi da altri enti</t>
  </si>
  <si>
    <t>610.200.90</t>
  </si>
  <si>
    <t>LR 17/2008 art. 10 c. 81 - Attuazione progetto per l'avvio delle Fatorie Sociali"</t>
  </si>
  <si>
    <t>Progetto di Farmacovigilanza</t>
  </si>
  <si>
    <t>L. 284/97 - Finanz.to per prevenzione della cecità eriabilitazione ( ciechi pluriminorati)</t>
  </si>
  <si>
    <t>Finanziamento per "non autosufficienti"</t>
  </si>
  <si>
    <t>- Contrubuti ad utenti</t>
  </si>
  <si>
    <t>Servizio lettura ottica delle ricette</t>
  </si>
  <si>
    <t>Finanziamento lavori di pubblica utilità</t>
  </si>
  <si>
    <t>Finanziamento Progetto "luoghi della salute"</t>
  </si>
  <si>
    <t>Finanziamento "Progetto sviluppo di una campagna di informazione via web"</t>
  </si>
  <si>
    <t>Costi per prestazioni ambulatoriali e diagnostiche extra-tetti</t>
  </si>
  <si>
    <r>
      <t xml:space="preserve">Costi per prestazioni in regime di ricovero </t>
    </r>
    <r>
      <rPr>
        <i/>
        <sz val="10"/>
        <rFont val="Times New Roman"/>
        <family val="1"/>
      </rPr>
      <t>extra-tetti</t>
    </r>
  </si>
  <si>
    <t>Su c/tesoreria</t>
  </si>
  <si>
    <t>Insussistenze dell'attivo v/terzi relative al personale dipendente</t>
  </si>
  <si>
    <t>600.900.10</t>
  </si>
  <si>
    <t>Oneri sociale org.direttivi - Direttore Amm.vo</t>
  </si>
  <si>
    <t>Oneri sociale org.direttivi - Direttore Generale</t>
  </si>
  <si>
    <t>Rimborso attività sovraziendali</t>
  </si>
  <si>
    <t>Materiale informatico</t>
  </si>
  <si>
    <t>620.100.40</t>
  </si>
  <si>
    <t>510.100.11</t>
  </si>
  <si>
    <t>Sopravvenienze passive v/Azssr</t>
  </si>
  <si>
    <t>COMPOSIZIONE DELLE RIMANENZE</t>
  </si>
  <si>
    <t>PRODOTTI SANITARI</t>
  </si>
  <si>
    <t>Mat. per la profilassi igienico-sanitaria</t>
  </si>
  <si>
    <t>Presidi chirurgici e mater. sanit. per ass.</t>
  </si>
  <si>
    <t>Ossigeno</t>
  </si>
  <si>
    <t xml:space="preserve">Materiali  protesici </t>
  </si>
  <si>
    <t>TOTALE PRODOTTI SANITARI</t>
  </si>
  <si>
    <t>PRODOTTI NON SANITARI</t>
  </si>
  <si>
    <t>Mat. di guardaroba, di pulizia e di convivenza</t>
  </si>
  <si>
    <t>Combustibili</t>
  </si>
  <si>
    <t>Carburanti e lubrificanti</t>
  </si>
  <si>
    <t>Cancelleria e stampati</t>
  </si>
  <si>
    <t>Materiali di consumo per l'informatica</t>
  </si>
  <si>
    <t>Materiale didattico, audiovisivo e fotografico</t>
  </si>
  <si>
    <t>TOTALE PRODOTTI NON SANITARI</t>
  </si>
  <si>
    <t xml:space="preserve">N.I. 19: COMPOSIZIONE DELLE RIMANENZE FINALI </t>
  </si>
  <si>
    <t>Altri prodotti non sanitari</t>
  </si>
  <si>
    <t>Compensi  di cui alla DGR 1644/2012</t>
  </si>
  <si>
    <t>Medici sentinella</t>
  </si>
  <si>
    <t>Fondo compensi AIA medici specialisti</t>
  </si>
  <si>
    <t>Fondo compensi AIR medici psicologi</t>
  </si>
  <si>
    <t>Oneri ex Inadel -Circolare INPS 8/13</t>
  </si>
  <si>
    <t>Sopravvenienze per recupero costi medicina di base specialistica</t>
  </si>
  <si>
    <t>Sopravvenienze passive v/terzi servizio "lettura ricette"</t>
  </si>
  <si>
    <t>Sopravvenienze passive per rimborsi spese sanitarie ad utenti</t>
  </si>
  <si>
    <t>Sopravvenienze passive per contributi ad associazioni ed enti</t>
  </si>
  <si>
    <t>Sopravvenienze passive per oneri derivanti app.le Circolare Inps n. 8/2013 (personale esterno)</t>
  </si>
  <si>
    <t>ESERCIZIO 2013</t>
  </si>
  <si>
    <t>SITUAZIONE AL 31.12.2013</t>
  </si>
  <si>
    <t>Progetto Montagna</t>
  </si>
  <si>
    <t>Finanziamento "Attività di controllo delle malattie del bestiame"</t>
  </si>
  <si>
    <t>Risconto contributo Borse Lavoro L.R. 41</t>
  </si>
  <si>
    <t>Contrubuti ad utenti e/o enti</t>
  </si>
  <si>
    <t>Progetto "Farmacovigilanza"</t>
  </si>
  <si>
    <t>Progetto strategico 2012 "Interventi a favore dell'innovazione nel settore del welfare"</t>
  </si>
  <si>
    <t>Costi campagna di vaccinazione contro la varicella</t>
  </si>
  <si>
    <t>Attività consultori familiari</t>
  </si>
  <si>
    <t>-  Consulenze sanitarie</t>
  </si>
  <si>
    <t>Finanziamento quote ammortamento acquisti  fondi propri e quota canone acquisti in leasing</t>
  </si>
  <si>
    <t>Saldo mobilità extraregionale 2012</t>
  </si>
  <si>
    <t>Sopravvenienze passive per mobilità sanitaria extraregionale 2012 - Fuga</t>
  </si>
</sst>
</file>

<file path=xl/styles.xml><?xml version="1.0" encoding="utf-8"?>
<styleSheet xmlns="http://schemas.openxmlformats.org/spreadsheetml/2006/main">
  <numFmts count="6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;\(#,##0\)"/>
    <numFmt numFmtId="185" formatCode="_-* #,##0.0_-;\-* #,##0.0_-;_-* &quot;-&quot;_-;_-@_-"/>
    <numFmt numFmtId="186" formatCode="_-* #,##0.00_-;\-* #,##0.00_-;_-* &quot;-&quot;_-;_-@_-"/>
    <numFmt numFmtId="187" formatCode="_-* #,##0.000_-;\-* #,##0.000_-;_-* &quot;-&quot;_-;_-@_-"/>
    <numFmt numFmtId="188" formatCode="_-* #,##0.0000_-;\-* #,##0.0000_-;_-* &quot;-&quot;_-;_-@_-"/>
    <numFmt numFmtId="189" formatCode="_-* #,##0.00000_-;\-* #,##0.00000_-;_-* &quot;-&quot;_-;_-@_-"/>
    <numFmt numFmtId="190" formatCode="_-* #,##0.000000_-;\-* #,##0.000000_-;_-* &quot;-&quot;_-;_-@_-"/>
    <numFmt numFmtId="191" formatCode="_-* #,##0.0000000_-;\-* #,##0.0000000_-;_-* &quot;-&quot;_-;_-@_-"/>
    <numFmt numFmtId="192" formatCode="_-* #,##0.00000000_-;\-* #,##0.00000000_-;_-* &quot;-&quot;_-;_-@_-"/>
    <numFmt numFmtId="193" formatCode="00"/>
    <numFmt numFmtId="194" formatCode="#,##0.0"/>
    <numFmt numFmtId="195" formatCode="#,##0.000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"/>
    <numFmt numFmtId="205" formatCode="&quot;Sì&quot;;&quot;Sì&quot;;&quot;No&quot;"/>
    <numFmt numFmtId="206" formatCode="&quot;Vero&quot;;&quot;Vero&quot;;&quot;Falso&quot;"/>
    <numFmt numFmtId="207" formatCode="&quot;Attivo&quot;;&quot;Attivo&quot;;&quot;Disattivo&quot;"/>
    <numFmt numFmtId="208" formatCode="0.0%"/>
    <numFmt numFmtId="209" formatCode="#,##0.0;\(#,##0.0\)"/>
    <numFmt numFmtId="210" formatCode="#,##0.00;\(#,##0.00\)"/>
    <numFmt numFmtId="211" formatCode="_-* #,##0.000_-;\-* #,##0.000_-;_-* &quot;-&quot;??_-;_-@_-"/>
    <numFmt numFmtId="212" formatCode="_-* #,##0.0_-;\-* #,##0.0_-;_-* &quot;-&quot;??_-;_-@_-"/>
    <numFmt numFmtId="213" formatCode="_-* #,##0_-;\-* #,##0_-;_-* &quot;-&quot;??_-;_-@_-"/>
    <numFmt numFmtId="214" formatCode="0.00;[Red]0.00"/>
    <numFmt numFmtId="215" formatCode="[$€-2]\ #.##000_);[Red]\([$€-2]\ #.##000\)"/>
    <numFmt numFmtId="216" formatCode="_-* #,##0.0000_-;\-* #,##0.0000_-;_-* &quot;-&quot;??_-;_-@_-"/>
    <numFmt numFmtId="217" formatCode="_-[$€]* #,##0.00_-;\-[$€]* #,##0.00_-;_-[$€]* &quot;-&quot;??_-;_-@_-"/>
    <numFmt numFmtId="218" formatCode="#,###"/>
    <numFmt numFmtId="219" formatCode="0_ ;[Red]\-0\ "/>
    <numFmt numFmtId="220" formatCode="0.00_ ;[Red]\-0.00\ "/>
    <numFmt numFmtId="221" formatCode="0;[Red]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u val="single"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3"/>
      <name val="Times New Roman"/>
      <family val="0"/>
    </font>
    <font>
      <b/>
      <sz val="12"/>
      <name val="Times New Roman"/>
      <family val="1"/>
    </font>
    <font>
      <b/>
      <sz val="8"/>
      <name val="Arial"/>
      <family val="2"/>
    </font>
    <font>
      <sz val="10"/>
      <name val="MS Sans Serif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9"/>
      <name val="Times New Roman"/>
      <family val="1"/>
    </font>
    <font>
      <sz val="9"/>
      <name val="Arial"/>
      <family val="0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8"/>
      <color indexed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12"/>
      <name val="New Century Schlbk"/>
      <family val="0"/>
    </font>
    <font>
      <sz val="11"/>
      <name val="Times New Roman"/>
      <family val="1"/>
    </font>
    <font>
      <sz val="11"/>
      <name val="DecimaWE Rg"/>
      <family val="0"/>
    </font>
    <font>
      <b/>
      <sz val="10"/>
      <name val="DecimaWE Rg"/>
      <family val="0"/>
    </font>
    <font>
      <sz val="10"/>
      <name val="DecimaWE Rg"/>
      <family val="0"/>
    </font>
    <font>
      <b/>
      <sz val="8"/>
      <color indexed="8"/>
      <name val="Arial"/>
      <family val="2"/>
    </font>
    <font>
      <b/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218" fontId="31" fillId="0" borderId="0">
      <alignment horizontal="left"/>
      <protection/>
    </xf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79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Continuous"/>
    </xf>
    <xf numFmtId="0" fontId="6" fillId="0" borderId="14" xfId="0" applyFont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5" xfId="0" applyFont="1" applyFill="1" applyBorder="1" applyAlignment="1">
      <alignment horizontal="centerContinuous"/>
    </xf>
    <xf numFmtId="0" fontId="6" fillId="2" borderId="15" xfId="0" applyFont="1" applyFill="1" applyBorder="1" applyAlignment="1">
      <alignment horizontal="centerContinuous"/>
    </xf>
    <xf numFmtId="0" fontId="5" fillId="2" borderId="16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centerContinuous"/>
    </xf>
    <xf numFmtId="0" fontId="5" fillId="2" borderId="17" xfId="0" applyFont="1" applyFill="1" applyBorder="1" applyAlignment="1">
      <alignment horizontal="centerContinuous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Continuous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/>
    </xf>
    <xf numFmtId="0" fontId="6" fillId="2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/>
    </xf>
    <xf numFmtId="0" fontId="6" fillId="0" borderId="22" xfId="0" applyFont="1" applyBorder="1" applyAlignment="1" applyProtection="1">
      <alignment horizontal="left"/>
      <protection/>
    </xf>
    <xf numFmtId="0" fontId="0" fillId="0" borderId="22" xfId="0" applyBorder="1" applyAlignment="1">
      <alignment/>
    </xf>
    <xf numFmtId="0" fontId="9" fillId="0" borderId="22" xfId="0" applyFont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 wrapText="1"/>
      <protection/>
    </xf>
    <xf numFmtId="0" fontId="6" fillId="0" borderId="23" xfId="0" applyFont="1" applyBorder="1" applyAlignment="1">
      <alignment/>
    </xf>
    <xf numFmtId="0" fontId="0" fillId="2" borderId="24" xfId="0" applyFill="1" applyBorder="1" applyAlignment="1">
      <alignment horizontal="centerContinuous"/>
    </xf>
    <xf numFmtId="0" fontId="5" fillId="2" borderId="9" xfId="0" applyFont="1" applyFill="1" applyBorder="1" applyAlignment="1">
      <alignment horizontal="centerContinuous"/>
    </xf>
    <xf numFmtId="0" fontId="6" fillId="2" borderId="25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6" fillId="2" borderId="14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/>
    </xf>
    <xf numFmtId="0" fontId="4" fillId="2" borderId="25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0" fontId="5" fillId="0" borderId="2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41" fontId="6" fillId="0" borderId="5" xfId="21" applyFont="1" applyBorder="1" applyAlignment="1">
      <alignment/>
    </xf>
    <xf numFmtId="41" fontId="6" fillId="0" borderId="7" xfId="21" applyFont="1" applyBorder="1" applyAlignment="1">
      <alignment/>
    </xf>
    <xf numFmtId="41" fontId="4" fillId="0" borderId="0" xfId="21" applyFont="1" applyAlignment="1">
      <alignment/>
    </xf>
    <xf numFmtId="41" fontId="6" fillId="0" borderId="0" xfId="21" applyFont="1" applyAlignment="1">
      <alignment/>
    </xf>
    <xf numFmtId="41" fontId="5" fillId="0" borderId="11" xfId="21" applyFont="1" applyBorder="1" applyAlignment="1">
      <alignment horizontal="centerContinuous"/>
    </xf>
    <xf numFmtId="41" fontId="5" fillId="2" borderId="15" xfId="21" applyFont="1" applyFill="1" applyBorder="1" applyAlignment="1">
      <alignment horizontal="centerContinuous"/>
    </xf>
    <xf numFmtId="41" fontId="6" fillId="2" borderId="19" xfId="21" applyFont="1" applyFill="1" applyBorder="1" applyAlignment="1">
      <alignment horizontal="center" vertical="center" wrapText="1"/>
    </xf>
    <xf numFmtId="41" fontId="6" fillId="0" borderId="6" xfId="21" applyFont="1" applyBorder="1" applyAlignment="1">
      <alignment/>
    </xf>
    <xf numFmtId="41" fontId="5" fillId="2" borderId="4" xfId="21" applyFont="1" applyFill="1" applyBorder="1" applyAlignment="1">
      <alignment horizontal="centerContinuous"/>
    </xf>
    <xf numFmtId="41" fontId="6" fillId="0" borderId="0" xfId="0" applyNumberFormat="1" applyFont="1" applyAlignment="1">
      <alignment/>
    </xf>
    <xf numFmtId="41" fontId="6" fillId="0" borderId="2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41" fontId="6" fillId="0" borderId="29" xfId="21" applyFont="1" applyBorder="1" applyAlignment="1">
      <alignment/>
    </xf>
    <xf numFmtId="41" fontId="6" fillId="0" borderId="29" xfId="0" applyNumberFormat="1" applyFont="1" applyBorder="1" applyAlignment="1">
      <alignment/>
    </xf>
    <xf numFmtId="41" fontId="6" fillId="0" borderId="6" xfId="0" applyNumberFormat="1" applyFont="1" applyBorder="1" applyAlignment="1">
      <alignment/>
    </xf>
    <xf numFmtId="41" fontId="6" fillId="0" borderId="0" xfId="21" applyFont="1" applyAlignment="1">
      <alignment/>
    </xf>
    <xf numFmtId="41" fontId="0" fillId="0" borderId="0" xfId="2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9" xfId="0" applyNumberFormat="1" applyFont="1" applyBorder="1" applyAlignment="1">
      <alignment horizontal="centerContinuous"/>
    </xf>
    <xf numFmtId="3" fontId="5" fillId="0" borderId="4" xfId="0" applyNumberFormat="1" applyFont="1" applyBorder="1" applyAlignment="1">
      <alignment horizontal="centerContinuous"/>
    </xf>
    <xf numFmtId="3" fontId="5" fillId="0" borderId="17" xfId="0" applyNumberFormat="1" applyFont="1" applyBorder="1" applyAlignment="1">
      <alignment horizontal="centerContinuous"/>
    </xf>
    <xf numFmtId="3" fontId="5" fillId="2" borderId="9" xfId="0" applyNumberFormat="1" applyFont="1" applyFill="1" applyBorder="1" applyAlignment="1">
      <alignment/>
    </xf>
    <xf numFmtId="3" fontId="5" fillId="2" borderId="20" xfId="0" applyNumberFormat="1" applyFont="1" applyFill="1" applyBorder="1" applyAlignment="1">
      <alignment/>
    </xf>
    <xf numFmtId="3" fontId="5" fillId="2" borderId="30" xfId="0" applyNumberFormat="1" applyFont="1" applyFill="1" applyBorder="1" applyAlignment="1">
      <alignment horizontal="centerContinuous"/>
    </xf>
    <xf numFmtId="3" fontId="6" fillId="0" borderId="31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0" fontId="7" fillId="0" borderId="34" xfId="0" applyFont="1" applyBorder="1" applyAlignment="1">
      <alignment/>
    </xf>
    <xf numFmtId="3" fontId="4" fillId="0" borderId="22" xfId="0" applyNumberFormat="1" applyFont="1" applyBorder="1" applyAlignment="1">
      <alignment/>
    </xf>
    <xf numFmtId="41" fontId="7" fillId="0" borderId="0" xfId="21" applyFont="1" applyAlignment="1">
      <alignment/>
    </xf>
    <xf numFmtId="41" fontId="7" fillId="0" borderId="11" xfId="21" applyFont="1" applyBorder="1" applyAlignment="1">
      <alignment horizontal="centerContinuous"/>
    </xf>
    <xf numFmtId="41" fontId="7" fillId="2" borderId="4" xfId="21" applyFont="1" applyFill="1" applyBorder="1" applyAlignment="1">
      <alignment/>
    </xf>
    <xf numFmtId="41" fontId="5" fillId="2" borderId="35" xfId="21" applyFont="1" applyFill="1" applyBorder="1" applyAlignment="1">
      <alignment horizontal="center" vertical="center" wrapText="1"/>
    </xf>
    <xf numFmtId="41" fontId="7" fillId="0" borderId="0" xfId="21" applyFont="1" applyBorder="1" applyAlignment="1">
      <alignment/>
    </xf>
    <xf numFmtId="41" fontId="4" fillId="0" borderId="0" xfId="21" applyFont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84" fontId="0" fillId="0" borderId="0" xfId="0" applyNumberForma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184" fontId="5" fillId="0" borderId="0" xfId="0" applyNumberFormat="1" applyFont="1" applyFill="1" applyBorder="1" applyAlignment="1" applyProtection="1">
      <alignment horizontal="left" vertical="center" wrapText="1"/>
      <protection/>
    </xf>
    <xf numFmtId="184" fontId="5" fillId="0" borderId="0" xfId="0" applyNumberFormat="1" applyFont="1" applyFill="1" applyBorder="1" applyAlignment="1" applyProtection="1">
      <alignment horizontal="center" vertical="center" wrapText="1"/>
      <protection/>
    </xf>
    <xf numFmtId="3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5" fillId="0" borderId="1" xfId="0" applyFont="1" applyFill="1" applyBorder="1" applyAlignment="1" applyProtection="1">
      <alignment horizontal="center"/>
      <protection/>
    </xf>
    <xf numFmtId="0" fontId="5" fillId="0" borderId="1" xfId="0" applyFont="1" applyFill="1" applyBorder="1" applyAlignment="1" applyProtection="1">
      <alignment horizontal="right"/>
      <protection/>
    </xf>
    <xf numFmtId="184" fontId="6" fillId="0" borderId="5" xfId="0" applyNumberFormat="1" applyFont="1" applyFill="1" applyBorder="1" applyAlignment="1" applyProtection="1">
      <alignment horizontal="right"/>
      <protection/>
    </xf>
    <xf numFmtId="184" fontId="6" fillId="0" borderId="0" xfId="0" applyNumberFormat="1" applyFont="1" applyFill="1" applyBorder="1" applyAlignment="1" applyProtection="1">
      <alignment horizontal="left"/>
      <protection/>
    </xf>
    <xf numFmtId="184" fontId="6" fillId="0" borderId="0" xfId="0" applyNumberFormat="1" applyFont="1" applyFill="1" applyBorder="1" applyAlignment="1" applyProtection="1">
      <alignment horizontal="right"/>
      <protection/>
    </xf>
    <xf numFmtId="184" fontId="14" fillId="0" borderId="0" xfId="0" applyNumberFormat="1" applyFont="1" applyFill="1" applyBorder="1" applyAlignment="1">
      <alignment wrapText="1"/>
    </xf>
    <xf numFmtId="184" fontId="14" fillId="0" borderId="0" xfId="0" applyNumberFormat="1" applyFont="1" applyFill="1" applyBorder="1" applyAlignment="1">
      <alignment vertical="center" wrapText="1"/>
    </xf>
    <xf numFmtId="184" fontId="6" fillId="0" borderId="7" xfId="0" applyNumberFormat="1" applyFont="1" applyFill="1" applyBorder="1" applyAlignment="1" applyProtection="1">
      <alignment horizontal="right"/>
      <protection/>
    </xf>
    <xf numFmtId="0" fontId="0" fillId="0" borderId="1" xfId="0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18" xfId="0" applyFont="1" applyFill="1" applyBorder="1" applyAlignment="1" applyProtection="1">
      <alignment horizontal="center"/>
      <protection/>
    </xf>
    <xf numFmtId="184" fontId="6" fillId="0" borderId="14" xfId="0" applyNumberFormat="1" applyFont="1" applyFill="1" applyBorder="1" applyAlignment="1" applyProtection="1">
      <alignment horizontal="right"/>
      <protection/>
    </xf>
    <xf numFmtId="184" fontId="6" fillId="0" borderId="36" xfId="0" applyNumberFormat="1" applyFont="1" applyFill="1" applyBorder="1" applyAlignment="1" applyProtection="1">
      <alignment horizontal="right"/>
      <protection/>
    </xf>
    <xf numFmtId="184" fontId="6" fillId="0" borderId="37" xfId="0" applyNumberFormat="1" applyFont="1" applyFill="1" applyBorder="1" applyAlignment="1" applyProtection="1">
      <alignment horizontal="right"/>
      <protection/>
    </xf>
    <xf numFmtId="184" fontId="6" fillId="0" borderId="38" xfId="0" applyNumberFormat="1" applyFont="1" applyFill="1" applyBorder="1" applyAlignment="1" applyProtection="1">
      <alignment horizontal="right"/>
      <protection/>
    </xf>
    <xf numFmtId="184" fontId="6" fillId="0" borderId="7" xfId="0" applyNumberFormat="1" applyFont="1" applyFill="1" applyBorder="1" applyAlignment="1">
      <alignment horizontal="right" wrapText="1"/>
    </xf>
    <xf numFmtId="184" fontId="6" fillId="0" borderId="7" xfId="0" applyNumberFormat="1" applyFont="1" applyFill="1" applyBorder="1" applyAlignment="1" applyProtection="1">
      <alignment horizontal="right" wrapText="1"/>
      <protection/>
    </xf>
    <xf numFmtId="184" fontId="6" fillId="0" borderId="7" xfId="0" applyNumberFormat="1" applyFont="1" applyFill="1" applyBorder="1" applyAlignment="1" applyProtection="1" quotePrefix="1">
      <alignment horizontal="right" wrapText="1"/>
      <protection/>
    </xf>
    <xf numFmtId="184" fontId="14" fillId="0" borderId="5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wrapText="1"/>
    </xf>
    <xf numFmtId="184" fontId="6" fillId="0" borderId="39" xfId="0" applyNumberFormat="1" applyFont="1" applyFill="1" applyBorder="1" applyAlignment="1" applyProtection="1">
      <alignment horizontal="right"/>
      <protection/>
    </xf>
    <xf numFmtId="184" fontId="17" fillId="0" borderId="40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184" fontId="6" fillId="0" borderId="8" xfId="0" applyNumberFormat="1" applyFont="1" applyFill="1" applyBorder="1" applyAlignment="1">
      <alignment horizontal="right" wrapText="1"/>
    </xf>
    <xf numFmtId="0" fontId="6" fillId="0" borderId="8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84" fontId="6" fillId="0" borderId="0" xfId="0" applyNumberFormat="1" applyFont="1" applyFill="1" applyBorder="1" applyAlignment="1">
      <alignment horizontal="right" wrapText="1"/>
    </xf>
    <xf numFmtId="41" fontId="5" fillId="0" borderId="12" xfId="21" applyFont="1" applyBorder="1" applyAlignment="1">
      <alignment horizontal="centerContinuous"/>
    </xf>
    <xf numFmtId="41" fontId="5" fillId="2" borderId="27" xfId="21" applyFont="1" applyFill="1" applyBorder="1" applyAlignment="1">
      <alignment horizontal="center" vertical="center" wrapText="1"/>
    </xf>
    <xf numFmtId="41" fontId="6" fillId="0" borderId="31" xfId="21" applyFont="1" applyBorder="1" applyAlignment="1">
      <alignment/>
    </xf>
    <xf numFmtId="41" fontId="6" fillId="0" borderId="8" xfId="21" applyFont="1" applyBorder="1" applyAlignment="1">
      <alignment/>
    </xf>
    <xf numFmtId="41" fontId="6" fillId="0" borderId="41" xfId="21" applyFont="1" applyBorder="1" applyAlignment="1">
      <alignment/>
    </xf>
    <xf numFmtId="41" fontId="6" fillId="2" borderId="26" xfId="21" applyFont="1" applyFill="1" applyBorder="1" applyAlignment="1">
      <alignment horizontal="center" vertical="center" wrapText="1"/>
    </xf>
    <xf numFmtId="41" fontId="6" fillId="0" borderId="2" xfId="21" applyFont="1" applyBorder="1" applyAlignment="1">
      <alignment/>
    </xf>
    <xf numFmtId="41" fontId="6" fillId="0" borderId="42" xfId="21" applyFont="1" applyBorder="1" applyAlignment="1">
      <alignment/>
    </xf>
    <xf numFmtId="41" fontId="6" fillId="2" borderId="43" xfId="21" applyFont="1" applyFill="1" applyBorder="1" applyAlignment="1">
      <alignment horizontal="center" vertical="center" wrapText="1"/>
    </xf>
    <xf numFmtId="41" fontId="6" fillId="0" borderId="0" xfId="21" applyFont="1" applyBorder="1" applyAlignment="1">
      <alignment/>
    </xf>
    <xf numFmtId="41" fontId="5" fillId="0" borderId="17" xfId="21" applyFont="1" applyBorder="1" applyAlignment="1">
      <alignment horizontal="centerContinuous"/>
    </xf>
    <xf numFmtId="41" fontId="5" fillId="2" borderId="17" xfId="21" applyFont="1" applyFill="1" applyBorder="1" applyAlignment="1">
      <alignment horizontal="centerContinuous"/>
    </xf>
    <xf numFmtId="41" fontId="6" fillId="2" borderId="27" xfId="21" applyFont="1" applyFill="1" applyBorder="1" applyAlignment="1">
      <alignment horizontal="center" vertical="center" wrapText="1"/>
    </xf>
    <xf numFmtId="41" fontId="5" fillId="0" borderId="4" xfId="21" applyFont="1" applyBorder="1" applyAlignment="1">
      <alignment horizontal="centerContinuous"/>
    </xf>
    <xf numFmtId="41" fontId="5" fillId="2" borderId="15" xfId="21" applyFont="1" applyFill="1" applyBorder="1" applyAlignment="1">
      <alignment horizontal="centerContinuous"/>
    </xf>
    <xf numFmtId="41" fontId="6" fillId="2" borderId="15" xfId="21" applyFont="1" applyFill="1" applyBorder="1" applyAlignment="1">
      <alignment horizontal="centerContinuous"/>
    </xf>
    <xf numFmtId="0" fontId="6" fillId="0" borderId="22" xfId="0" applyFont="1" applyBorder="1" applyAlignment="1">
      <alignment/>
    </xf>
    <xf numFmtId="41" fontId="6" fillId="0" borderId="14" xfId="21" applyFont="1" applyBorder="1" applyAlignment="1">
      <alignment/>
    </xf>
    <xf numFmtId="41" fontId="5" fillId="0" borderId="0" xfId="21" applyFont="1" applyAlignment="1" quotePrefix="1">
      <alignment/>
    </xf>
    <xf numFmtId="184" fontId="14" fillId="0" borderId="0" xfId="0" applyNumberFormat="1" applyFont="1" applyFill="1" applyBorder="1" applyAlignment="1">
      <alignment/>
    </xf>
    <xf numFmtId="0" fontId="5" fillId="0" borderId="8" xfId="0" applyFont="1" applyBorder="1" applyAlignment="1">
      <alignment/>
    </xf>
    <xf numFmtId="3" fontId="4" fillId="0" borderId="0" xfId="0" applyNumberFormat="1" applyFont="1" applyAlignment="1">
      <alignment/>
    </xf>
    <xf numFmtId="41" fontId="6" fillId="0" borderId="36" xfId="21" applyFont="1" applyBorder="1" applyAlignment="1">
      <alignment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/>
    </xf>
    <xf numFmtId="3" fontId="4" fillId="0" borderId="2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3" fontId="5" fillId="0" borderId="6" xfId="0" applyNumberFormat="1" applyFont="1" applyBorder="1" applyAlignment="1">
      <alignment/>
    </xf>
    <xf numFmtId="0" fontId="14" fillId="0" borderId="22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14" fillId="0" borderId="5" xfId="0" applyFont="1" applyBorder="1" applyAlignment="1">
      <alignment/>
    </xf>
    <xf numFmtId="0" fontId="17" fillId="0" borderId="5" xfId="0" applyFont="1" applyBorder="1" applyAlignment="1">
      <alignment/>
    </xf>
    <xf numFmtId="0" fontId="14" fillId="0" borderId="5" xfId="0" applyFont="1" applyBorder="1" applyAlignment="1">
      <alignment/>
    </xf>
    <xf numFmtId="0" fontId="17" fillId="0" borderId="5" xfId="0" applyFont="1" applyBorder="1" applyAlignment="1">
      <alignment/>
    </xf>
    <xf numFmtId="0" fontId="6" fillId="0" borderId="44" xfId="0" applyFont="1" applyBorder="1" applyAlignment="1">
      <alignment/>
    </xf>
    <xf numFmtId="0" fontId="5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6" fillId="0" borderId="5" xfId="0" applyFont="1" applyFill="1" applyBorder="1" applyAlignment="1">
      <alignment/>
    </xf>
    <xf numFmtId="0" fontId="22" fillId="0" borderId="0" xfId="0" applyFont="1" applyAlignment="1">
      <alignment/>
    </xf>
    <xf numFmtId="3" fontId="7" fillId="0" borderId="11" xfId="0" applyNumberFormat="1" applyFont="1" applyBorder="1" applyAlignment="1">
      <alignment horizontal="centerContinuous"/>
    </xf>
    <xf numFmtId="3" fontId="7" fillId="0" borderId="12" xfId="0" applyNumberFormat="1" applyFont="1" applyBorder="1" applyAlignment="1">
      <alignment horizontal="centerContinuous"/>
    </xf>
    <xf numFmtId="3" fontId="4" fillId="2" borderId="19" xfId="0" applyNumberFormat="1" applyFont="1" applyFill="1" applyBorder="1" applyAlignment="1">
      <alignment horizontal="center" vertical="center" wrapText="1"/>
    </xf>
    <xf numFmtId="3" fontId="4" fillId="2" borderId="26" xfId="0" applyNumberFormat="1" applyFont="1" applyFill="1" applyBorder="1" applyAlignment="1">
      <alignment horizontal="center" vertical="center" wrapText="1"/>
    </xf>
    <xf numFmtId="3" fontId="4" fillId="2" borderId="27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184" fontId="6" fillId="0" borderId="2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41" fontId="6" fillId="0" borderId="33" xfId="21" applyFont="1" applyBorder="1" applyAlignment="1">
      <alignment/>
    </xf>
    <xf numFmtId="3" fontId="7" fillId="0" borderId="22" xfId="0" applyNumberFormat="1" applyFont="1" applyBorder="1" applyAlignment="1">
      <alignment horizontal="center"/>
    </xf>
    <xf numFmtId="0" fontId="7" fillId="2" borderId="45" xfId="0" applyFont="1" applyFill="1" applyBorder="1" applyAlignment="1">
      <alignment horizontal="center" vertical="center" wrapText="1"/>
    </xf>
    <xf numFmtId="3" fontId="22" fillId="0" borderId="22" xfId="0" applyNumberFormat="1" applyFont="1" applyBorder="1" applyAlignment="1">
      <alignment/>
    </xf>
    <xf numFmtId="3" fontId="11" fillId="0" borderId="22" xfId="0" applyNumberFormat="1" applyFont="1" applyBorder="1" applyAlignment="1" quotePrefix="1">
      <alignment horizontal="center"/>
    </xf>
    <xf numFmtId="41" fontId="6" fillId="0" borderId="0" xfId="0" applyNumberFormat="1" applyFont="1" applyAlignment="1">
      <alignment/>
    </xf>
    <xf numFmtId="3" fontId="6" fillId="0" borderId="2" xfId="0" applyNumberFormat="1" applyFont="1" applyBorder="1" applyAlignment="1">
      <alignment/>
    </xf>
    <xf numFmtId="0" fontId="14" fillId="0" borderId="22" xfId="0" applyFont="1" applyBorder="1" applyAlignment="1">
      <alignment wrapText="1"/>
    </xf>
    <xf numFmtId="3" fontId="6" fillId="0" borderId="22" xfId="0" applyNumberFormat="1" applyFont="1" applyBorder="1" applyAlignment="1">
      <alignment/>
    </xf>
    <xf numFmtId="0" fontId="5" fillId="0" borderId="7" xfId="0" applyFont="1" applyBorder="1" applyAlignment="1" applyProtection="1">
      <alignment horizontal="left"/>
      <protection/>
    </xf>
    <xf numFmtId="184" fontId="5" fillId="0" borderId="7" xfId="0" applyNumberFormat="1" applyFont="1" applyFill="1" applyBorder="1" applyAlignment="1">
      <alignment horizontal="right" wrapText="1"/>
    </xf>
    <xf numFmtId="0" fontId="5" fillId="0" borderId="7" xfId="0" applyFont="1" applyFill="1" applyBorder="1" applyAlignment="1">
      <alignment/>
    </xf>
    <xf numFmtId="41" fontId="6" fillId="2" borderId="16" xfId="21" applyFont="1" applyFill="1" applyBorder="1" applyAlignment="1">
      <alignment horizontal="centerContinuous"/>
    </xf>
    <xf numFmtId="0" fontId="5" fillId="2" borderId="28" xfId="0" applyFont="1" applyFill="1" applyBorder="1" applyAlignment="1">
      <alignment/>
    </xf>
    <xf numFmtId="41" fontId="6" fillId="0" borderId="46" xfId="21" applyFont="1" applyBorder="1" applyAlignment="1">
      <alignment/>
    </xf>
    <xf numFmtId="41" fontId="0" fillId="0" borderId="0" xfId="0" applyNumberFormat="1" applyAlignment="1">
      <alignment/>
    </xf>
    <xf numFmtId="0" fontId="6" fillId="2" borderId="47" xfId="0" applyFont="1" applyFill="1" applyBorder="1" applyAlignment="1">
      <alignment horizontal="centerContinuous" vertical="center" wrapText="1"/>
    </xf>
    <xf numFmtId="41" fontId="5" fillId="2" borderId="43" xfId="21" applyFont="1" applyFill="1" applyBorder="1" applyAlignment="1">
      <alignment horizontal="center" vertical="center" wrapText="1"/>
    </xf>
    <xf numFmtId="3" fontId="6" fillId="0" borderId="5" xfId="0" applyNumberFormat="1" applyFont="1" applyBorder="1" applyAlignment="1">
      <alignment/>
    </xf>
    <xf numFmtId="0" fontId="6" fillId="0" borderId="1" xfId="0" applyFont="1" applyBorder="1" applyAlignment="1">
      <alignment horizontal="left"/>
    </xf>
    <xf numFmtId="186" fontId="6" fillId="0" borderId="0" xfId="21" applyNumberFormat="1" applyFont="1" applyAlignment="1">
      <alignment/>
    </xf>
    <xf numFmtId="4" fontId="6" fillId="0" borderId="0" xfId="0" applyNumberFormat="1" applyFont="1" applyAlignment="1">
      <alignment/>
    </xf>
    <xf numFmtId="3" fontId="6" fillId="2" borderId="25" xfId="0" applyNumberFormat="1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justify" vertical="center"/>
    </xf>
    <xf numFmtId="0" fontId="14" fillId="0" borderId="22" xfId="0" applyFont="1" applyFill="1" applyBorder="1" applyAlignment="1">
      <alignment horizontal="justify" vertical="center"/>
    </xf>
    <xf numFmtId="43" fontId="0" fillId="0" borderId="0" xfId="19" applyAlignment="1">
      <alignment/>
    </xf>
    <xf numFmtId="43" fontId="0" fillId="0" borderId="0" xfId="0" applyNumberFormat="1" applyAlignment="1">
      <alignment/>
    </xf>
    <xf numFmtId="3" fontId="22" fillId="0" borderId="22" xfId="0" applyNumberFormat="1" applyFont="1" applyFill="1" applyBorder="1" applyAlignment="1">
      <alignment/>
    </xf>
    <xf numFmtId="3" fontId="5" fillId="0" borderId="48" xfId="0" applyNumberFormat="1" applyFont="1" applyBorder="1" applyAlignment="1">
      <alignment horizontal="centerContinuous"/>
    </xf>
    <xf numFmtId="213" fontId="6" fillId="0" borderId="0" xfId="19" applyNumberFormat="1" applyFont="1" applyAlignment="1">
      <alignment/>
    </xf>
    <xf numFmtId="213" fontId="5" fillId="0" borderId="11" xfId="19" applyNumberFormat="1" applyFont="1" applyBorder="1" applyAlignment="1">
      <alignment horizontal="centerContinuous"/>
    </xf>
    <xf numFmtId="213" fontId="5" fillId="2" borderId="4" xfId="19" applyNumberFormat="1" applyFont="1" applyFill="1" applyBorder="1" applyAlignment="1">
      <alignment horizontal="centerContinuous"/>
    </xf>
    <xf numFmtId="213" fontId="6" fillId="2" borderId="19" xfId="19" applyNumberFormat="1" applyFont="1" applyFill="1" applyBorder="1" applyAlignment="1">
      <alignment horizontal="center" vertical="center" wrapText="1"/>
    </xf>
    <xf numFmtId="213" fontId="6" fillId="0" borderId="5" xfId="19" applyNumberFormat="1" applyFont="1" applyBorder="1" applyAlignment="1">
      <alignment/>
    </xf>
    <xf numFmtId="43" fontId="6" fillId="0" borderId="0" xfId="19" applyFont="1" applyAlignment="1">
      <alignment/>
    </xf>
    <xf numFmtId="213" fontId="5" fillId="0" borderId="49" xfId="19" applyNumberFormat="1" applyFont="1" applyBorder="1" applyAlignment="1">
      <alignment horizontal="centerContinuous"/>
    </xf>
    <xf numFmtId="213" fontId="5" fillId="2" borderId="2" xfId="19" applyNumberFormat="1" applyFont="1" applyFill="1" applyBorder="1" applyAlignment="1">
      <alignment horizontal="centerContinuous"/>
    </xf>
    <xf numFmtId="213" fontId="6" fillId="2" borderId="46" xfId="19" applyNumberFormat="1" applyFont="1" applyFill="1" applyBorder="1" applyAlignment="1">
      <alignment horizontal="center" vertical="center" wrapText="1"/>
    </xf>
    <xf numFmtId="213" fontId="6" fillId="0" borderId="2" xfId="19" applyNumberFormat="1" applyFont="1" applyFill="1" applyBorder="1" applyAlignment="1">
      <alignment/>
    </xf>
    <xf numFmtId="213" fontId="6" fillId="0" borderId="2" xfId="19" applyNumberFormat="1" applyFont="1" applyBorder="1" applyAlignment="1">
      <alignment/>
    </xf>
    <xf numFmtId="213" fontId="6" fillId="0" borderId="0" xfId="19" applyNumberFormat="1" applyFont="1" applyBorder="1" applyAlignment="1">
      <alignment/>
    </xf>
    <xf numFmtId="3" fontId="6" fillId="0" borderId="32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/>
    </xf>
    <xf numFmtId="41" fontId="6" fillId="0" borderId="5" xfId="21" applyFont="1" applyFill="1" applyBorder="1" applyAlignment="1">
      <alignment/>
    </xf>
    <xf numFmtId="41" fontId="6" fillId="0" borderId="7" xfId="0" applyNumberFormat="1" applyFont="1" applyFill="1" applyBorder="1" applyAlignment="1">
      <alignment/>
    </xf>
    <xf numFmtId="41" fontId="6" fillId="0" borderId="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7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41" fontId="6" fillId="0" borderId="0" xfId="21" applyFont="1" applyFill="1" applyAlignment="1">
      <alignment/>
    </xf>
    <xf numFmtId="41" fontId="6" fillId="0" borderId="31" xfId="21" applyFont="1" applyFill="1" applyBorder="1" applyAlignment="1">
      <alignment/>
    </xf>
    <xf numFmtId="3" fontId="26" fillId="0" borderId="31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3" fontId="26" fillId="0" borderId="0" xfId="0" applyNumberFormat="1" applyFont="1" applyAlignment="1">
      <alignment/>
    </xf>
    <xf numFmtId="3" fontId="6" fillId="0" borderId="22" xfId="0" applyNumberFormat="1" applyFont="1" applyBorder="1" applyAlignment="1">
      <alignment wrapText="1"/>
    </xf>
    <xf numFmtId="186" fontId="4" fillId="0" borderId="0" xfId="21" applyNumberFormat="1" applyFont="1" applyFill="1" applyAlignment="1">
      <alignment/>
    </xf>
    <xf numFmtId="3" fontId="6" fillId="0" borderId="1" xfId="0" applyNumberFormat="1" applyFont="1" applyBorder="1" applyAlignment="1" quotePrefix="1">
      <alignment/>
    </xf>
    <xf numFmtId="0" fontId="27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213" fontId="5" fillId="2" borderId="16" xfId="19" applyNumberFormat="1" applyFont="1" applyFill="1" applyBorder="1" applyAlignment="1">
      <alignment horizontal="centerContinuous"/>
    </xf>
    <xf numFmtId="213" fontId="5" fillId="2" borderId="26" xfId="19" applyNumberFormat="1" applyFont="1" applyFill="1" applyBorder="1" applyAlignment="1">
      <alignment horizontal="center" vertical="center" wrapText="1"/>
    </xf>
    <xf numFmtId="213" fontId="6" fillId="0" borderId="7" xfId="19" applyNumberFormat="1" applyFont="1" applyBorder="1" applyAlignment="1">
      <alignment/>
    </xf>
    <xf numFmtId="213" fontId="6" fillId="0" borderId="6" xfId="19" applyNumberFormat="1" applyFont="1" applyBorder="1" applyAlignment="1">
      <alignment/>
    </xf>
    <xf numFmtId="213" fontId="6" fillId="0" borderId="0" xfId="0" applyNumberFormat="1" applyFont="1" applyAlignment="1">
      <alignment/>
    </xf>
    <xf numFmtId="213" fontId="5" fillId="0" borderId="11" xfId="0" applyNumberFormat="1" applyFont="1" applyBorder="1" applyAlignment="1">
      <alignment horizontal="centerContinuous"/>
    </xf>
    <xf numFmtId="213" fontId="5" fillId="2" borderId="15" xfId="0" applyNumberFormat="1" applyFont="1" applyFill="1" applyBorder="1" applyAlignment="1">
      <alignment horizontal="centerContinuous"/>
    </xf>
    <xf numFmtId="213" fontId="6" fillId="2" borderId="19" xfId="0" applyNumberFormat="1" applyFont="1" applyFill="1" applyBorder="1" applyAlignment="1">
      <alignment horizontal="center" vertical="center" wrapText="1"/>
    </xf>
    <xf numFmtId="213" fontId="6" fillId="0" borderId="5" xfId="0" applyNumberFormat="1" applyFont="1" applyBorder="1" applyAlignment="1">
      <alignment/>
    </xf>
    <xf numFmtId="213" fontId="6" fillId="0" borderId="5" xfId="21" applyNumberFormat="1" applyFont="1" applyBorder="1" applyAlignment="1">
      <alignment/>
    </xf>
    <xf numFmtId="213" fontId="5" fillId="2" borderId="20" xfId="0" applyNumberFormat="1" applyFont="1" applyFill="1" applyBorder="1" applyAlignment="1">
      <alignment horizontal="centerContinuous"/>
    </xf>
    <xf numFmtId="213" fontId="5" fillId="0" borderId="12" xfId="19" applyNumberFormat="1" applyFont="1" applyBorder="1" applyAlignment="1">
      <alignment horizontal="centerContinuous"/>
    </xf>
    <xf numFmtId="213" fontId="5" fillId="2" borderId="17" xfId="19" applyNumberFormat="1" applyFont="1" applyFill="1" applyBorder="1" applyAlignment="1">
      <alignment horizontal="centerContinuous"/>
    </xf>
    <xf numFmtId="213" fontId="5" fillId="2" borderId="27" xfId="19" applyNumberFormat="1" applyFont="1" applyFill="1" applyBorder="1" applyAlignment="1">
      <alignment horizontal="center" vertical="center" wrapText="1"/>
    </xf>
    <xf numFmtId="213" fontId="6" fillId="0" borderId="3" xfId="19" applyNumberFormat="1" applyFont="1" applyBorder="1" applyAlignment="1">
      <alignment/>
    </xf>
    <xf numFmtId="213" fontId="4" fillId="0" borderId="0" xfId="19" applyNumberFormat="1" applyFont="1" applyAlignment="1">
      <alignment/>
    </xf>
    <xf numFmtId="213" fontId="4" fillId="0" borderId="2" xfId="19" applyNumberFormat="1" applyFont="1" applyBorder="1" applyAlignment="1">
      <alignment/>
    </xf>
    <xf numFmtId="213" fontId="7" fillId="2" borderId="19" xfId="19" applyNumberFormat="1" applyFont="1" applyFill="1" applyBorder="1" applyAlignment="1">
      <alignment horizontal="center" vertical="center" wrapText="1"/>
    </xf>
    <xf numFmtId="3" fontId="4" fillId="0" borderId="22" xfId="0" applyNumberFormat="1" applyFont="1" applyBorder="1" applyAlignment="1">
      <alignment wrapText="1"/>
    </xf>
    <xf numFmtId="213" fontId="4" fillId="0" borderId="2" xfId="19" applyNumberFormat="1" applyFont="1" applyFill="1" applyBorder="1" applyAlignment="1">
      <alignment/>
    </xf>
    <xf numFmtId="41" fontId="0" fillId="0" borderId="0" xfId="2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3" fontId="4" fillId="0" borderId="0" xfId="19" applyFont="1" applyAlignment="1">
      <alignment/>
    </xf>
    <xf numFmtId="0" fontId="6" fillId="0" borderId="0" xfId="0" applyFont="1" applyAlignment="1">
      <alignment wrapText="1"/>
    </xf>
    <xf numFmtId="184" fontId="6" fillId="0" borderId="0" xfId="19" applyNumberFormat="1" applyFont="1" applyAlignment="1">
      <alignment/>
    </xf>
    <xf numFmtId="184" fontId="5" fillId="2" borderId="20" xfId="19" applyNumberFormat="1" applyFont="1" applyFill="1" applyBorder="1" applyAlignment="1">
      <alignment/>
    </xf>
    <xf numFmtId="184" fontId="5" fillId="2" borderId="30" xfId="0" applyNumberFormat="1" applyFont="1" applyFill="1" applyBorder="1" applyAlignment="1">
      <alignment horizontal="centerContinuous"/>
    </xf>
    <xf numFmtId="184" fontId="6" fillId="0" borderId="29" xfId="19" applyNumberFormat="1" applyFont="1" applyBorder="1" applyAlignment="1">
      <alignment/>
    </xf>
    <xf numFmtId="3" fontId="6" fillId="0" borderId="0" xfId="0" applyNumberFormat="1" applyFont="1" applyAlignment="1">
      <alignment wrapText="1"/>
    </xf>
    <xf numFmtId="3" fontId="5" fillId="2" borderId="9" xfId="0" applyNumberFormat="1" applyFont="1" applyFill="1" applyBorder="1" applyAlignment="1">
      <alignment wrapText="1"/>
    </xf>
    <xf numFmtId="184" fontId="6" fillId="0" borderId="2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5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22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left"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6" fillId="0" borderId="1" xfId="0" applyFont="1" applyFill="1" applyBorder="1" applyAlignment="1" quotePrefix="1">
      <alignment/>
    </xf>
    <xf numFmtId="213" fontId="0" fillId="0" borderId="0" xfId="0" applyNumberFormat="1" applyAlignment="1">
      <alignment/>
    </xf>
    <xf numFmtId="43" fontId="5" fillId="0" borderId="0" xfId="19" applyFont="1" applyAlignment="1">
      <alignment/>
    </xf>
    <xf numFmtId="43" fontId="6" fillId="0" borderId="0" xfId="19" applyFont="1" applyAlignment="1">
      <alignment horizontal="center" vertical="center" wrapText="1"/>
    </xf>
    <xf numFmtId="43" fontId="6" fillId="0" borderId="0" xfId="19" applyFont="1" applyFill="1" applyAlignment="1">
      <alignment/>
    </xf>
    <xf numFmtId="43" fontId="6" fillId="0" borderId="0" xfId="19" applyFont="1" applyAlignment="1">
      <alignment/>
    </xf>
    <xf numFmtId="0" fontId="5" fillId="2" borderId="19" xfId="0" applyFont="1" applyFill="1" applyBorder="1" applyAlignment="1">
      <alignment horizontal="center" vertical="center" wrapText="1"/>
    </xf>
    <xf numFmtId="213" fontId="5" fillId="2" borderId="15" xfId="19" applyNumberFormat="1" applyFont="1" applyFill="1" applyBorder="1" applyAlignment="1">
      <alignment horizontal="centerContinuous"/>
    </xf>
    <xf numFmtId="213" fontId="5" fillId="2" borderId="15" xfId="19" applyNumberFormat="1" applyFont="1" applyFill="1" applyBorder="1" applyAlignment="1">
      <alignment horizontal="centerContinuous"/>
    </xf>
    <xf numFmtId="213" fontId="6" fillId="2" borderId="15" xfId="19" applyNumberFormat="1" applyFont="1" applyFill="1" applyBorder="1" applyAlignment="1">
      <alignment horizontal="centerContinuous"/>
    </xf>
    <xf numFmtId="213" fontId="5" fillId="2" borderId="20" xfId="19" applyNumberFormat="1" applyFont="1" applyFill="1" applyBorder="1" applyAlignment="1">
      <alignment horizontal="centerContinuous"/>
    </xf>
    <xf numFmtId="213" fontId="6" fillId="0" borderId="5" xfId="19" applyNumberFormat="1" applyFont="1" applyFill="1" applyBorder="1" applyAlignment="1">
      <alignment/>
    </xf>
    <xf numFmtId="213" fontId="6" fillId="0" borderId="29" xfId="19" applyNumberFormat="1" applyFont="1" applyBorder="1" applyAlignment="1">
      <alignment/>
    </xf>
    <xf numFmtId="41" fontId="6" fillId="0" borderId="7" xfId="21" applyFont="1" applyFill="1" applyBorder="1" applyAlignment="1">
      <alignment/>
    </xf>
    <xf numFmtId="41" fontId="6" fillId="0" borderId="0" xfId="0" applyNumberFormat="1" applyFont="1" applyFill="1" applyAlignment="1">
      <alignment/>
    </xf>
    <xf numFmtId="41" fontId="6" fillId="0" borderId="2" xfId="21" applyFont="1" applyFill="1" applyBorder="1" applyAlignment="1">
      <alignment/>
    </xf>
    <xf numFmtId="0" fontId="6" fillId="0" borderId="22" xfId="0" applyFont="1" applyFill="1" applyBorder="1" applyAlignment="1">
      <alignment/>
    </xf>
    <xf numFmtId="213" fontId="4" fillId="0" borderId="31" xfId="19" applyNumberFormat="1" applyFont="1" applyBorder="1" applyAlignment="1">
      <alignment/>
    </xf>
    <xf numFmtId="43" fontId="28" fillId="0" borderId="0" xfId="19" applyFont="1" applyFill="1" applyBorder="1" applyAlignment="1" applyProtection="1">
      <alignment/>
      <protection locked="0"/>
    </xf>
    <xf numFmtId="3" fontId="5" fillId="0" borderId="21" xfId="0" applyNumberFormat="1" applyFont="1" applyBorder="1" applyAlignment="1">
      <alignment horizontal="centerContinuous"/>
    </xf>
    <xf numFmtId="3" fontId="6" fillId="0" borderId="22" xfId="0" applyNumberFormat="1" applyFont="1" applyFill="1" applyBorder="1" applyAlignment="1">
      <alignment horizontal="left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3" fontId="5" fillId="2" borderId="44" xfId="0" applyNumberFormat="1" applyFont="1" applyFill="1" applyBorder="1" applyAlignment="1">
      <alignment/>
    </xf>
    <xf numFmtId="3" fontId="6" fillId="2" borderId="14" xfId="0" applyNumberFormat="1" applyFont="1" applyFill="1" applyBorder="1" applyAlignment="1">
      <alignment horizontal="center" vertical="center" wrapText="1"/>
    </xf>
    <xf numFmtId="184" fontId="6" fillId="0" borderId="5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/>
    </xf>
    <xf numFmtId="43" fontId="6" fillId="0" borderId="0" xfId="0" applyNumberFormat="1" applyFont="1" applyAlignment="1">
      <alignment/>
    </xf>
    <xf numFmtId="41" fontId="6" fillId="2" borderId="24" xfId="21" applyFont="1" applyFill="1" applyBorder="1" applyAlignment="1">
      <alignment horizontal="center" vertical="center" wrapText="1"/>
    </xf>
    <xf numFmtId="41" fontId="5" fillId="2" borderId="30" xfId="21" applyFont="1" applyFill="1" applyBorder="1" applyAlignment="1">
      <alignment/>
    </xf>
    <xf numFmtId="41" fontId="6" fillId="2" borderId="46" xfId="2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Continuous"/>
    </xf>
    <xf numFmtId="0" fontId="5" fillId="2" borderId="30" xfId="0" applyFont="1" applyFill="1" applyBorder="1" applyAlignment="1">
      <alignment horizontal="centerContinuous"/>
    </xf>
    <xf numFmtId="0" fontId="6" fillId="2" borderId="50" xfId="0" applyFont="1" applyFill="1" applyBorder="1" applyAlignment="1">
      <alignment horizontal="center" vertical="center" wrapText="1"/>
    </xf>
    <xf numFmtId="213" fontId="4" fillId="0" borderId="0" xfId="19" applyNumberFormat="1" applyFont="1" applyFill="1" applyAlignment="1">
      <alignment/>
    </xf>
    <xf numFmtId="41" fontId="6" fillId="0" borderId="0" xfId="21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5" fillId="0" borderId="8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wrapText="1"/>
    </xf>
    <xf numFmtId="3" fontId="4" fillId="0" borderId="5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3" fontId="6" fillId="0" borderId="1" xfId="0" applyNumberFormat="1" applyFont="1" applyFill="1" applyBorder="1" applyAlignment="1" quotePrefix="1">
      <alignment/>
    </xf>
    <xf numFmtId="0" fontId="11" fillId="0" borderId="0" xfId="0" applyFont="1" applyAlignment="1">
      <alignment horizontal="left"/>
    </xf>
    <xf numFmtId="43" fontId="5" fillId="0" borderId="0" xfId="19" applyFont="1" applyFill="1" applyBorder="1" applyAlignment="1">
      <alignment/>
    </xf>
    <xf numFmtId="43" fontId="5" fillId="0" borderId="0" xfId="19" applyFont="1" applyFill="1" applyBorder="1" applyAlignment="1">
      <alignment horizontal="centerContinuous"/>
    </xf>
    <xf numFmtId="43" fontId="6" fillId="0" borderId="2" xfId="19" applyFont="1" applyFill="1" applyBorder="1" applyAlignment="1">
      <alignment horizontal="right"/>
    </xf>
    <xf numFmtId="43" fontId="6" fillId="0" borderId="0" xfId="19" applyFont="1" applyFill="1" applyBorder="1" applyAlignment="1">
      <alignment horizontal="center"/>
    </xf>
    <xf numFmtId="43" fontId="17" fillId="0" borderId="2" xfId="19" applyFont="1" applyBorder="1" applyAlignment="1">
      <alignment/>
    </xf>
    <xf numFmtId="212" fontId="6" fillId="0" borderId="0" xfId="19" applyNumberFormat="1" applyFont="1" applyAlignment="1">
      <alignment/>
    </xf>
    <xf numFmtId="212" fontId="5" fillId="0" borderId="11" xfId="19" applyNumberFormat="1" applyFont="1" applyBorder="1" applyAlignment="1">
      <alignment horizontal="centerContinuous"/>
    </xf>
    <xf numFmtId="212" fontId="5" fillId="2" borderId="4" xfId="19" applyNumberFormat="1" applyFont="1" applyFill="1" applyBorder="1" applyAlignment="1">
      <alignment horizontal="centerContinuous"/>
    </xf>
    <xf numFmtId="212" fontId="6" fillId="2" borderId="19" xfId="19" applyNumberFormat="1" applyFont="1" applyFill="1" applyBorder="1" applyAlignment="1">
      <alignment horizontal="center" vertical="center" wrapText="1"/>
    </xf>
    <xf numFmtId="186" fontId="6" fillId="0" borderId="0" xfId="19" applyNumberFormat="1" applyFont="1" applyAlignment="1">
      <alignment/>
    </xf>
    <xf numFmtId="41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41" fontId="6" fillId="0" borderId="0" xfId="0" applyNumberFormat="1" applyFont="1" applyBorder="1" applyAlignment="1">
      <alignment/>
    </xf>
    <xf numFmtId="3" fontId="6" fillId="0" borderId="5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5" fillId="2" borderId="34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7" fillId="0" borderId="11" xfId="0" applyNumberFormat="1" applyFont="1" applyFill="1" applyBorder="1" applyAlignment="1">
      <alignment horizontal="centerContinuous"/>
    </xf>
    <xf numFmtId="3" fontId="4" fillId="0" borderId="14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0" fontId="6" fillId="0" borderId="0" xfId="0" applyFont="1" applyAlignment="1" quotePrefix="1">
      <alignment horizontal="right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5" fillId="2" borderId="24" xfId="0" applyFont="1" applyFill="1" applyBorder="1" applyAlignment="1">
      <alignment horizontal="center" vertical="center" wrapText="1"/>
    </xf>
    <xf numFmtId="41" fontId="5" fillId="2" borderId="49" xfId="21" applyFont="1" applyFill="1" applyBorder="1" applyAlignment="1">
      <alignment horizontal="center" vertical="center" wrapText="1"/>
    </xf>
    <xf numFmtId="41" fontId="6" fillId="0" borderId="0" xfId="0" applyNumberFormat="1" applyFont="1" applyFill="1" applyBorder="1" applyAlignment="1">
      <alignment/>
    </xf>
    <xf numFmtId="186" fontId="6" fillId="0" borderId="0" xfId="21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213" fontId="14" fillId="0" borderId="0" xfId="19" applyNumberFormat="1" applyFont="1" applyAlignment="1">
      <alignment/>
    </xf>
    <xf numFmtId="0" fontId="14" fillId="0" borderId="22" xfId="0" applyFont="1" applyBorder="1" applyAlignment="1" quotePrefix="1">
      <alignment wrapText="1"/>
    </xf>
    <xf numFmtId="3" fontId="6" fillId="0" borderId="22" xfId="0" applyNumberFormat="1" applyFont="1" applyBorder="1" applyAlignment="1" quotePrefix="1">
      <alignment wrapText="1"/>
    </xf>
    <xf numFmtId="213" fontId="7" fillId="0" borderId="29" xfId="19" applyNumberFormat="1" applyFont="1" applyBorder="1" applyAlignment="1">
      <alignment/>
    </xf>
    <xf numFmtId="0" fontId="7" fillId="0" borderId="51" xfId="0" applyFont="1" applyBorder="1" applyAlignment="1">
      <alignment horizontal="center"/>
    </xf>
    <xf numFmtId="41" fontId="6" fillId="0" borderId="50" xfId="21" applyFont="1" applyFill="1" applyBorder="1" applyAlignment="1">
      <alignment/>
    </xf>
    <xf numFmtId="0" fontId="14" fillId="0" borderId="1" xfId="0" applyFont="1" applyBorder="1" applyAlignment="1">
      <alignment/>
    </xf>
    <xf numFmtId="0" fontId="6" fillId="0" borderId="23" xfId="0" applyFont="1" applyFill="1" applyBorder="1" applyAlignment="1">
      <alignment/>
    </xf>
    <xf numFmtId="41" fontId="5" fillId="0" borderId="7" xfId="21" applyFont="1" applyFill="1" applyBorder="1" applyAlignment="1">
      <alignment/>
    </xf>
    <xf numFmtId="0" fontId="6" fillId="0" borderId="36" xfId="0" applyFont="1" applyFill="1" applyBorder="1" applyAlignment="1">
      <alignment/>
    </xf>
    <xf numFmtId="41" fontId="6" fillId="0" borderId="31" xfId="21" applyFont="1" applyBorder="1" applyAlignment="1">
      <alignment horizontal="right"/>
    </xf>
    <xf numFmtId="41" fontId="6" fillId="0" borderId="50" xfId="21" applyFont="1" applyBorder="1" applyAlignment="1">
      <alignment horizontal="right"/>
    </xf>
    <xf numFmtId="0" fontId="14" fillId="0" borderId="22" xfId="0" applyFont="1" applyBorder="1" applyAlignment="1">
      <alignment horizontal="center" wrapText="1"/>
    </xf>
    <xf numFmtId="3" fontId="14" fillId="0" borderId="2" xfId="0" applyNumberFormat="1" applyFont="1" applyFill="1" applyBorder="1" applyAlignment="1">
      <alignment/>
    </xf>
    <xf numFmtId="184" fontId="6" fillId="0" borderId="46" xfId="0" applyNumberFormat="1" applyFont="1" applyFill="1" applyBorder="1" applyAlignment="1" applyProtection="1">
      <alignment horizontal="right"/>
      <protection/>
    </xf>
    <xf numFmtId="0" fontId="5" fillId="0" borderId="9" xfId="0" applyFont="1" applyFill="1" applyBorder="1" applyAlignment="1" applyProtection="1">
      <alignment horizontal="center"/>
      <protection/>
    </xf>
    <xf numFmtId="184" fontId="6" fillId="0" borderId="15" xfId="0" applyNumberFormat="1" applyFont="1" applyFill="1" applyBorder="1" applyAlignment="1" applyProtection="1">
      <alignment horizontal="right"/>
      <protection/>
    </xf>
    <xf numFmtId="0" fontId="5" fillId="0" borderId="7" xfId="0" applyFont="1" applyBorder="1" applyAlignment="1">
      <alignment/>
    </xf>
    <xf numFmtId="184" fontId="17" fillId="0" borderId="7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3" fontId="4" fillId="0" borderId="0" xfId="19" applyFont="1" applyFill="1" applyAlignment="1">
      <alignment/>
    </xf>
    <xf numFmtId="213" fontId="6" fillId="0" borderId="0" xfId="0" applyNumberFormat="1" applyFont="1" applyFill="1" applyAlignment="1">
      <alignment/>
    </xf>
    <xf numFmtId="213" fontId="26" fillId="0" borderId="0" xfId="19" applyNumberFormat="1" applyFont="1" applyFill="1" applyAlignment="1">
      <alignment/>
    </xf>
    <xf numFmtId="0" fontId="14" fillId="0" borderId="22" xfId="0" applyFont="1" applyBorder="1" applyAlignment="1" quotePrefix="1">
      <alignment horizontal="left" wrapText="1"/>
    </xf>
    <xf numFmtId="3" fontId="6" fillId="0" borderId="0" xfId="0" applyNumberFormat="1" applyFont="1" applyBorder="1" applyAlignment="1">
      <alignment horizontal="left" wrapText="1"/>
    </xf>
    <xf numFmtId="3" fontId="4" fillId="0" borderId="0" xfId="0" applyNumberFormat="1" applyFont="1" applyBorder="1" applyAlignment="1">
      <alignment/>
    </xf>
    <xf numFmtId="213" fontId="4" fillId="0" borderId="0" xfId="19" applyNumberFormat="1" applyFont="1" applyBorder="1" applyAlignment="1">
      <alignment/>
    </xf>
    <xf numFmtId="41" fontId="0" fillId="0" borderId="0" xfId="21" applyBorder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30" fillId="2" borderId="35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Alignment="1">
      <alignment horizontal="center"/>
    </xf>
    <xf numFmtId="3" fontId="30" fillId="0" borderId="0" xfId="0" applyNumberFormat="1" applyFont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3" fontId="30" fillId="0" borderId="0" xfId="0" applyNumberFormat="1" applyFont="1" applyFill="1" applyBorder="1" applyAlignment="1">
      <alignment horizontal="center" wrapText="1"/>
    </xf>
    <xf numFmtId="0" fontId="5" fillId="0" borderId="52" xfId="0" applyFont="1" applyBorder="1" applyAlignment="1">
      <alignment horizontal="centerContinuous"/>
    </xf>
    <xf numFmtId="0" fontId="6" fillId="2" borderId="2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wrapText="1"/>
    </xf>
    <xf numFmtId="0" fontId="6" fillId="0" borderId="22" xfId="0" applyFont="1" applyBorder="1" applyAlignment="1" quotePrefix="1">
      <alignment wrapText="1"/>
    </xf>
    <xf numFmtId="0" fontId="30" fillId="0" borderId="5" xfId="0" applyFont="1" applyFill="1" applyBorder="1" applyAlignment="1">
      <alignment horizontal="center" wrapText="1"/>
    </xf>
    <xf numFmtId="3" fontId="30" fillId="0" borderId="5" xfId="0" applyNumberFormat="1" applyFont="1" applyFill="1" applyBorder="1" applyAlignment="1">
      <alignment horizontal="center" wrapText="1"/>
    </xf>
    <xf numFmtId="0" fontId="30" fillId="0" borderId="5" xfId="0" applyFont="1" applyFill="1" applyBorder="1" applyAlignment="1" quotePrefix="1">
      <alignment horizontal="center" wrapText="1"/>
    </xf>
    <xf numFmtId="0" fontId="30" fillId="0" borderId="0" xfId="0" applyFont="1" applyBorder="1" applyAlignment="1">
      <alignment horizontal="center"/>
    </xf>
    <xf numFmtId="41" fontId="6" fillId="0" borderId="33" xfId="2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213" fontId="14" fillId="0" borderId="0" xfId="19" applyNumberFormat="1" applyFont="1" applyFill="1" applyAlignment="1">
      <alignment/>
    </xf>
    <xf numFmtId="4" fontId="0" fillId="0" borderId="0" xfId="0" applyNumberFormat="1" applyAlignment="1">
      <alignment/>
    </xf>
    <xf numFmtId="0" fontId="6" fillId="0" borderId="22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0" fontId="22" fillId="0" borderId="22" xfId="0" applyFont="1" applyFill="1" applyBorder="1" applyAlignment="1">
      <alignment wrapText="1"/>
    </xf>
    <xf numFmtId="3" fontId="24" fillId="0" borderId="5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/>
    </xf>
    <xf numFmtId="0" fontId="6" fillId="0" borderId="23" xfId="0" applyFont="1" applyFill="1" applyBorder="1" applyAlignment="1">
      <alignment wrapText="1"/>
    </xf>
    <xf numFmtId="3" fontId="0" fillId="0" borderId="0" xfId="0" applyNumberFormat="1" applyFill="1" applyAlignment="1">
      <alignment/>
    </xf>
    <xf numFmtId="43" fontId="0" fillId="0" borderId="0" xfId="19" applyFill="1" applyAlignment="1">
      <alignment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30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Continuous" wrapText="1"/>
    </xf>
    <xf numFmtId="0" fontId="29" fillId="0" borderId="11" xfId="0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centerContinuous"/>
    </xf>
    <xf numFmtId="3" fontId="6" fillId="0" borderId="1" xfId="0" applyNumberFormat="1" applyFont="1" applyFill="1" applyBorder="1" applyAlignment="1">
      <alignment wrapText="1"/>
    </xf>
    <xf numFmtId="3" fontId="4" fillId="0" borderId="44" xfId="0" applyNumberFormat="1" applyFont="1" applyFill="1" applyBorder="1" applyAlignment="1">
      <alignment/>
    </xf>
    <xf numFmtId="0" fontId="30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6" fillId="0" borderId="1" xfId="0" applyFont="1" applyFill="1" applyBorder="1" applyAlignment="1" quotePrefix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wrapText="1"/>
    </xf>
    <xf numFmtId="3" fontId="30" fillId="0" borderId="14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wrapText="1"/>
    </xf>
    <xf numFmtId="0" fontId="30" fillId="0" borderId="6" xfId="0" applyFont="1" applyFill="1" applyBorder="1" applyAlignment="1">
      <alignment horizontal="center" wrapText="1"/>
    </xf>
    <xf numFmtId="0" fontId="30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0" fillId="0" borderId="0" xfId="0" applyFont="1" applyFill="1" applyBorder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3" fontId="22" fillId="0" borderId="22" xfId="0" applyNumberFormat="1" applyFont="1" applyBorder="1" applyAlignment="1">
      <alignment wrapText="1"/>
    </xf>
    <xf numFmtId="213" fontId="7" fillId="0" borderId="53" xfId="19" applyNumberFormat="1" applyFont="1" applyFill="1" applyBorder="1" applyAlignment="1">
      <alignment/>
    </xf>
    <xf numFmtId="184" fontId="5" fillId="0" borderId="7" xfId="0" applyNumberFormat="1" applyFont="1" applyFill="1" applyBorder="1" applyAlignment="1" applyProtection="1">
      <alignment horizontal="right" wrapText="1"/>
      <protection/>
    </xf>
    <xf numFmtId="184" fontId="9" fillId="0" borderId="7" xfId="0" applyNumberFormat="1" applyFont="1" applyFill="1" applyBorder="1" applyAlignment="1" applyProtection="1">
      <alignment horizontal="right" wrapText="1"/>
      <protection/>
    </xf>
    <xf numFmtId="184" fontId="9" fillId="0" borderId="7" xfId="0" applyNumberFormat="1" applyFont="1" applyFill="1" applyBorder="1" applyAlignment="1">
      <alignment horizontal="right" wrapText="1"/>
    </xf>
    <xf numFmtId="184" fontId="6" fillId="0" borderId="36" xfId="0" applyNumberFormat="1" applyFont="1" applyFill="1" applyBorder="1" applyAlignment="1" applyProtection="1" quotePrefix="1">
      <alignment horizontal="right" wrapText="1"/>
      <protection/>
    </xf>
    <xf numFmtId="184" fontId="5" fillId="0" borderId="7" xfId="0" applyNumberFormat="1" applyFont="1" applyFill="1" applyBorder="1" applyAlignment="1" applyProtection="1" quotePrefix="1">
      <alignment horizontal="right" wrapText="1"/>
      <protection/>
    </xf>
    <xf numFmtId="184" fontId="5" fillId="0" borderId="16" xfId="0" applyNumberFormat="1" applyFont="1" applyFill="1" applyBorder="1" applyAlignment="1" applyProtection="1">
      <alignment horizontal="right" wrapText="1"/>
      <protection/>
    </xf>
    <xf numFmtId="0" fontId="5" fillId="0" borderId="7" xfId="0" applyFont="1" applyFill="1" applyBorder="1" applyAlignment="1" applyProtection="1">
      <alignment horizontal="left" wrapText="1"/>
      <protection/>
    </xf>
    <xf numFmtId="0" fontId="6" fillId="0" borderId="7" xfId="0" applyFont="1" applyFill="1" applyBorder="1" applyAlignment="1" applyProtection="1">
      <alignment horizontal="left" wrapText="1"/>
      <protection/>
    </xf>
    <xf numFmtId="0" fontId="9" fillId="0" borderId="7" xfId="0" applyFont="1" applyFill="1" applyBorder="1" applyAlignment="1" applyProtection="1">
      <alignment horizontal="left" wrapText="1"/>
      <protection/>
    </xf>
    <xf numFmtId="0" fontId="9" fillId="0" borderId="7" xfId="0" applyFont="1" applyFill="1" applyBorder="1" applyAlignment="1">
      <alignment wrapText="1"/>
    </xf>
    <xf numFmtId="0" fontId="6" fillId="0" borderId="36" xfId="0" applyFont="1" applyFill="1" applyBorder="1" applyAlignment="1" applyProtection="1" quotePrefix="1">
      <alignment horizontal="left" wrapText="1"/>
      <protection/>
    </xf>
    <xf numFmtId="0" fontId="5" fillId="0" borderId="7" xfId="0" applyFont="1" applyFill="1" applyBorder="1" applyAlignment="1" applyProtection="1" quotePrefix="1">
      <alignment horizontal="left" wrapText="1"/>
      <protection/>
    </xf>
    <xf numFmtId="0" fontId="6" fillId="0" borderId="7" xfId="0" applyFont="1" applyBorder="1" applyAlignment="1" applyProtection="1">
      <alignment horizontal="left" wrapText="1"/>
      <protection/>
    </xf>
    <xf numFmtId="0" fontId="6" fillId="0" borderId="7" xfId="0" applyFont="1" applyFill="1" applyBorder="1" applyAlignment="1" applyProtection="1" quotePrefix="1">
      <alignment horizontal="left" wrapText="1"/>
      <protection/>
    </xf>
    <xf numFmtId="0" fontId="5" fillId="0" borderId="16" xfId="0" applyFont="1" applyFill="1" applyBorder="1" applyAlignment="1" applyProtection="1">
      <alignment horizontal="left" wrapText="1"/>
      <protection/>
    </xf>
    <xf numFmtId="0" fontId="6" fillId="0" borderId="7" xfId="0" applyFont="1" applyBorder="1" applyAlignment="1" applyProtection="1">
      <alignment horizontal="left"/>
      <protection/>
    </xf>
    <xf numFmtId="0" fontId="6" fillId="0" borderId="7" xfId="0" applyFont="1" applyBorder="1" applyAlignment="1">
      <alignment/>
    </xf>
    <xf numFmtId="0" fontId="6" fillId="0" borderId="7" xfId="0" applyFont="1" applyFill="1" applyBorder="1" applyAlignment="1">
      <alignment horizontal="left" wrapText="1"/>
    </xf>
    <xf numFmtId="0" fontId="5" fillId="0" borderId="1" xfId="0" applyFont="1" applyBorder="1" applyAlignment="1" applyProtection="1">
      <alignment horizontal="center" wrapText="1"/>
      <protection/>
    </xf>
    <xf numFmtId="41" fontId="6" fillId="0" borderId="33" xfId="0" applyNumberFormat="1" applyFont="1" applyFill="1" applyBorder="1" applyAlignment="1">
      <alignment/>
    </xf>
    <xf numFmtId="41" fontId="6" fillId="0" borderId="41" xfId="0" applyNumberFormat="1" applyFont="1" applyFill="1" applyBorder="1" applyAlignment="1">
      <alignment/>
    </xf>
    <xf numFmtId="213" fontId="6" fillId="0" borderId="6" xfId="19" applyNumberFormat="1" applyFont="1" applyFill="1" applyBorder="1" applyAlignment="1">
      <alignment/>
    </xf>
    <xf numFmtId="213" fontId="6" fillId="0" borderId="0" xfId="19" applyNumberFormat="1" applyFont="1" applyFill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41" fontId="6" fillId="0" borderId="44" xfId="21" applyFont="1" applyFill="1" applyBorder="1" applyAlignment="1">
      <alignment/>
    </xf>
    <xf numFmtId="186" fontId="6" fillId="0" borderId="5" xfId="21" applyNumberFormat="1" applyFont="1" applyFill="1" applyBorder="1" applyAlignment="1">
      <alignment/>
    </xf>
    <xf numFmtId="186" fontId="6" fillId="0" borderId="0" xfId="19" applyNumberFormat="1" applyFont="1" applyFill="1" applyAlignment="1">
      <alignment/>
    </xf>
    <xf numFmtId="0" fontId="5" fillId="0" borderId="3" xfId="0" applyFont="1" applyBorder="1" applyAlignment="1">
      <alignment/>
    </xf>
    <xf numFmtId="0" fontId="5" fillId="0" borderId="8" xfId="0" applyFont="1" applyBorder="1" applyAlignment="1">
      <alignment/>
    </xf>
    <xf numFmtId="41" fontId="5" fillId="0" borderId="29" xfId="21" applyFont="1" applyBorder="1" applyAlignment="1">
      <alignment/>
    </xf>
    <xf numFmtId="41" fontId="5" fillId="0" borderId="33" xfId="21" applyFont="1" applyFill="1" applyBorder="1" applyAlignment="1">
      <alignment/>
    </xf>
    <xf numFmtId="43" fontId="1" fillId="0" borderId="0" xfId="19" applyFont="1" applyAlignment="1">
      <alignment/>
    </xf>
    <xf numFmtId="3" fontId="5" fillId="2" borderId="2" xfId="0" applyNumberFormat="1" applyFont="1" applyFill="1" applyBorder="1" applyAlignment="1">
      <alignment horizontal="centerContinuous"/>
    </xf>
    <xf numFmtId="3" fontId="5" fillId="0" borderId="47" xfId="0" applyNumberFormat="1" applyFont="1" applyBorder="1" applyAlignment="1">
      <alignment horizontal="centerContinuous"/>
    </xf>
    <xf numFmtId="3" fontId="5" fillId="0" borderId="49" xfId="0" applyNumberFormat="1" applyFont="1" applyBorder="1" applyAlignment="1">
      <alignment horizontal="centerContinuous"/>
    </xf>
    <xf numFmtId="3" fontId="6" fillId="2" borderId="46" xfId="0" applyNumberFormat="1" applyFont="1" applyFill="1" applyBorder="1" applyAlignment="1">
      <alignment horizontal="center" vertical="center" wrapText="1"/>
    </xf>
    <xf numFmtId="3" fontId="5" fillId="2" borderId="54" xfId="0" applyNumberFormat="1" applyFont="1" applyFill="1" applyBorder="1" applyAlignment="1">
      <alignment horizontal="centerContinuous"/>
    </xf>
    <xf numFmtId="3" fontId="6" fillId="2" borderId="36" xfId="0" applyNumberFormat="1" applyFont="1" applyFill="1" applyBorder="1" applyAlignment="1">
      <alignment horizontal="center" vertical="center" wrapText="1"/>
    </xf>
    <xf numFmtId="3" fontId="6" fillId="0" borderId="55" xfId="0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213" fontId="14" fillId="0" borderId="2" xfId="19" applyNumberFormat="1" applyFont="1" applyFill="1" applyBorder="1" applyAlignment="1">
      <alignment horizontal="right"/>
    </xf>
    <xf numFmtId="0" fontId="14" fillId="0" borderId="7" xfId="0" applyFont="1" applyBorder="1" applyAlignment="1">
      <alignment/>
    </xf>
    <xf numFmtId="0" fontId="14" fillId="0" borderId="36" xfId="0" applyFont="1" applyBorder="1" applyAlignment="1">
      <alignment/>
    </xf>
    <xf numFmtId="0" fontId="17" fillId="0" borderId="7" xfId="0" applyFont="1" applyBorder="1" applyAlignment="1">
      <alignment/>
    </xf>
    <xf numFmtId="0" fontId="17" fillId="0" borderId="8" xfId="0" applyFont="1" applyBorder="1" applyAlignment="1">
      <alignment/>
    </xf>
    <xf numFmtId="43" fontId="6" fillId="0" borderId="2" xfId="19" applyFont="1" applyFill="1" applyBorder="1" applyAlignment="1">
      <alignment/>
    </xf>
    <xf numFmtId="43" fontId="6" fillId="0" borderId="46" xfId="19" applyFont="1" applyFill="1" applyBorder="1" applyAlignment="1">
      <alignment horizontal="right"/>
    </xf>
    <xf numFmtId="43" fontId="5" fillId="0" borderId="2" xfId="19" applyFont="1" applyFill="1" applyBorder="1" applyAlignment="1">
      <alignment/>
    </xf>
    <xf numFmtId="43" fontId="5" fillId="0" borderId="2" xfId="19" applyFont="1" applyFill="1" applyBorder="1" applyAlignment="1">
      <alignment horizontal="right"/>
    </xf>
    <xf numFmtId="43" fontId="6" fillId="0" borderId="42" xfId="19" applyFont="1" applyFill="1" applyBorder="1" applyAlignment="1">
      <alignment horizontal="right"/>
    </xf>
    <xf numFmtId="43" fontId="5" fillId="0" borderId="42" xfId="19" applyFont="1" applyFill="1" applyBorder="1" applyAlignment="1">
      <alignment/>
    </xf>
    <xf numFmtId="3" fontId="0" fillId="0" borderId="0" xfId="0" applyNumberFormat="1" applyAlignment="1">
      <alignment/>
    </xf>
    <xf numFmtId="213" fontId="22" fillId="0" borderId="2" xfId="19" applyNumberFormat="1" applyFont="1" applyFill="1" applyBorder="1" applyAlignment="1">
      <alignment horizontal="left"/>
    </xf>
    <xf numFmtId="43" fontId="0" fillId="0" borderId="0" xfId="0" applyNumberFormat="1" applyFill="1" applyAlignment="1">
      <alignment/>
    </xf>
    <xf numFmtId="184" fontId="6" fillId="0" borderId="2" xfId="0" applyNumberFormat="1" applyFont="1" applyFill="1" applyBorder="1" applyAlignment="1">
      <alignment wrapText="1"/>
    </xf>
    <xf numFmtId="3" fontId="7" fillId="0" borderId="0" xfId="0" applyNumberFormat="1" applyFont="1" applyBorder="1" applyAlignment="1">
      <alignment horizontal="center" wrapText="1"/>
    </xf>
    <xf numFmtId="41" fontId="6" fillId="0" borderId="14" xfId="21" applyFont="1" applyFill="1" applyBorder="1" applyAlignment="1">
      <alignment/>
    </xf>
    <xf numFmtId="41" fontId="6" fillId="0" borderId="6" xfId="21" applyFont="1" applyFill="1" applyBorder="1" applyAlignment="1">
      <alignment/>
    </xf>
    <xf numFmtId="41" fontId="6" fillId="0" borderId="42" xfId="21" applyFont="1" applyFill="1" applyBorder="1" applyAlignment="1">
      <alignment/>
    </xf>
    <xf numFmtId="43" fontId="32" fillId="0" borderId="0" xfId="19" applyFont="1" applyFill="1" applyBorder="1" applyAlignment="1">
      <alignment/>
    </xf>
    <xf numFmtId="0" fontId="7" fillId="0" borderId="23" xfId="0" applyFont="1" applyBorder="1" applyAlignment="1">
      <alignment/>
    </xf>
    <xf numFmtId="213" fontId="7" fillId="0" borderId="33" xfId="19" applyNumberFormat="1" applyFont="1" applyBorder="1" applyAlignment="1">
      <alignment/>
    </xf>
    <xf numFmtId="43" fontId="17" fillId="0" borderId="0" xfId="19" applyFont="1" applyFill="1" applyAlignment="1">
      <alignment/>
    </xf>
    <xf numFmtId="213" fontId="6" fillId="0" borderId="0" xfId="19" applyNumberFormat="1" applyFont="1" applyAlignment="1">
      <alignment horizontal="right"/>
    </xf>
    <xf numFmtId="213" fontId="5" fillId="0" borderId="17" xfId="19" applyNumberFormat="1" applyFont="1" applyBorder="1" applyAlignment="1">
      <alignment horizontal="right"/>
    </xf>
    <xf numFmtId="213" fontId="6" fillId="0" borderId="2" xfId="19" applyNumberFormat="1" applyFont="1" applyBorder="1" applyAlignment="1">
      <alignment horizontal="right"/>
    </xf>
    <xf numFmtId="213" fontId="5" fillId="0" borderId="2" xfId="19" applyNumberFormat="1" applyFont="1" applyBorder="1" applyAlignment="1">
      <alignment horizontal="right"/>
    </xf>
    <xf numFmtId="213" fontId="14" fillId="0" borderId="2" xfId="19" applyNumberFormat="1" applyFont="1" applyBorder="1" applyAlignment="1">
      <alignment horizontal="right"/>
    </xf>
    <xf numFmtId="213" fontId="6" fillId="0" borderId="46" xfId="19" applyNumberFormat="1" applyFont="1" applyBorder="1" applyAlignment="1">
      <alignment horizontal="right"/>
    </xf>
    <xf numFmtId="213" fontId="5" fillId="0" borderId="46" xfId="19" applyNumberFormat="1" applyFont="1" applyBorder="1" applyAlignment="1">
      <alignment horizontal="right"/>
    </xf>
    <xf numFmtId="213" fontId="6" fillId="0" borderId="0" xfId="19" applyNumberFormat="1" applyFont="1" applyBorder="1" applyAlignment="1">
      <alignment horizontal="right"/>
    </xf>
    <xf numFmtId="213" fontId="5" fillId="0" borderId="0" xfId="19" applyNumberFormat="1" applyFont="1" applyAlignment="1">
      <alignment horizontal="right"/>
    </xf>
    <xf numFmtId="43" fontId="6" fillId="0" borderId="0" xfId="19" applyFont="1" applyAlignment="1" quotePrefix="1">
      <alignment/>
    </xf>
    <xf numFmtId="213" fontId="6" fillId="0" borderId="31" xfId="19" applyNumberFormat="1" applyFont="1" applyBorder="1" applyAlignment="1">
      <alignment/>
    </xf>
    <xf numFmtId="213" fontId="6" fillId="0" borderId="31" xfId="19" applyNumberFormat="1" applyFont="1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4" fillId="0" borderId="22" xfId="0" applyFont="1" applyBorder="1" applyAlignment="1">
      <alignment horizontal="left"/>
    </xf>
    <xf numFmtId="213" fontId="4" fillId="0" borderId="2" xfId="19" applyNumberFormat="1" applyFont="1" applyFill="1" applyBorder="1" applyAlignment="1">
      <alignment horizontal="left"/>
    </xf>
    <xf numFmtId="41" fontId="0" fillId="0" borderId="0" xfId="2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184" fontId="6" fillId="0" borderId="5" xfId="19" applyNumberFormat="1" applyFont="1" applyBorder="1" applyAlignment="1">
      <alignment/>
    </xf>
    <xf numFmtId="184" fontId="6" fillId="0" borderId="2" xfId="0" applyNumberFormat="1" applyFont="1" applyFill="1" applyBorder="1" applyAlignment="1">
      <alignment horizontal="center" vertical="center" wrapText="1"/>
    </xf>
    <xf numFmtId="184" fontId="6" fillId="0" borderId="2" xfId="19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4" fontId="5" fillId="0" borderId="6" xfId="0" applyNumberFormat="1" applyFont="1" applyBorder="1" applyAlignment="1">
      <alignment/>
    </xf>
    <xf numFmtId="184" fontId="5" fillId="0" borderId="42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209" fontId="6" fillId="0" borderId="14" xfId="19" applyNumberFormat="1" applyFont="1" applyBorder="1" applyAlignment="1">
      <alignment/>
    </xf>
    <xf numFmtId="209" fontId="6" fillId="0" borderId="46" xfId="19" applyNumberFormat="1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5" fillId="0" borderId="7" xfId="0" applyFont="1" applyFill="1" applyBorder="1" applyAlignment="1" applyProtection="1" quotePrefix="1">
      <alignment horizontal="left" wrapText="1"/>
      <protection/>
    </xf>
    <xf numFmtId="213" fontId="26" fillId="0" borderId="0" xfId="19" applyNumberFormat="1" applyFont="1" applyAlignment="1">
      <alignment/>
    </xf>
    <xf numFmtId="213" fontId="0" fillId="0" borderId="0" xfId="19" applyNumberFormat="1" applyAlignment="1">
      <alignment/>
    </xf>
    <xf numFmtId="43" fontId="4" fillId="0" borderId="0" xfId="19" applyFont="1" applyAlignment="1">
      <alignment horizontal="right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2" borderId="21" xfId="0" applyFont="1" applyFill="1" applyBorder="1" applyAlignment="1">
      <alignment vertical="center"/>
    </xf>
    <xf numFmtId="0" fontId="34" fillId="2" borderId="43" xfId="0" applyFont="1" applyFill="1" applyBorder="1" applyAlignment="1">
      <alignment horizontal="center" vertical="center"/>
    </xf>
    <xf numFmtId="0" fontId="34" fillId="2" borderId="49" xfId="0" applyFont="1" applyFill="1" applyBorder="1" applyAlignment="1">
      <alignment horizontal="center" vertical="center"/>
    </xf>
    <xf numFmtId="0" fontId="35" fillId="0" borderId="22" xfId="0" applyFont="1" applyBorder="1" applyAlignment="1">
      <alignment vertical="center"/>
    </xf>
    <xf numFmtId="0" fontId="35" fillId="0" borderId="5" xfId="0" applyFont="1" applyBorder="1" applyAlignment="1">
      <alignment vertical="center"/>
    </xf>
    <xf numFmtId="0" fontId="35" fillId="0" borderId="2" xfId="0" applyFont="1" applyBorder="1" applyAlignment="1">
      <alignment vertical="center"/>
    </xf>
    <xf numFmtId="0" fontId="34" fillId="0" borderId="22" xfId="0" applyFont="1" applyBorder="1" applyAlignment="1">
      <alignment vertical="center"/>
    </xf>
    <xf numFmtId="0" fontId="35" fillId="0" borderId="22" xfId="23" applyFont="1" applyBorder="1" applyAlignment="1">
      <alignment vertical="center"/>
      <protection/>
    </xf>
    <xf numFmtId="0" fontId="34" fillId="0" borderId="45" xfId="23" applyFont="1" applyBorder="1" applyAlignment="1">
      <alignment vertical="center"/>
      <protection/>
    </xf>
    <xf numFmtId="0" fontId="34" fillId="0" borderId="22" xfId="23" applyFont="1" applyFill="1" applyBorder="1" applyAlignment="1">
      <alignment vertical="center"/>
      <protection/>
    </xf>
    <xf numFmtId="3" fontId="7" fillId="0" borderId="54" xfId="0" applyNumberFormat="1" applyFont="1" applyBorder="1" applyAlignment="1">
      <alignment horizontal="center" wrapText="1"/>
    </xf>
    <xf numFmtId="3" fontId="7" fillId="2" borderId="35" xfId="0" applyNumberFormat="1" applyFont="1" applyFill="1" applyBorder="1" applyAlignment="1">
      <alignment horizontal="center" vertical="center" wrapText="1"/>
    </xf>
    <xf numFmtId="184" fontId="7" fillId="2" borderId="14" xfId="19" applyNumberFormat="1" applyFont="1" applyFill="1" applyBorder="1" applyAlignment="1">
      <alignment horizontal="center" vertical="center" wrapText="1"/>
    </xf>
    <xf numFmtId="184" fontId="7" fillId="2" borderId="4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3" fontId="7" fillId="0" borderId="7" xfId="0" applyNumberFormat="1" applyFont="1" applyBorder="1" applyAlignment="1">
      <alignment horizontal="center" wrapText="1"/>
    </xf>
    <xf numFmtId="184" fontId="6" fillId="0" borderId="54" xfId="19" applyNumberFormat="1" applyFont="1" applyBorder="1" applyAlignment="1">
      <alignment/>
    </xf>
    <xf numFmtId="184" fontId="6" fillId="0" borderId="7" xfId="0" applyNumberFormat="1" applyFont="1" applyBorder="1" applyAlignment="1">
      <alignment/>
    </xf>
    <xf numFmtId="0" fontId="5" fillId="2" borderId="47" xfId="0" applyFont="1" applyFill="1" applyBorder="1" applyAlignment="1" applyProtection="1">
      <alignment horizontal="center" vertical="center" wrapText="1"/>
      <protection/>
    </xf>
    <xf numFmtId="0" fontId="16" fillId="2" borderId="24" xfId="0" applyFont="1" applyFill="1" applyBorder="1" applyAlignment="1">
      <alignment wrapText="1"/>
    </xf>
    <xf numFmtId="184" fontId="16" fillId="2" borderId="48" xfId="0" applyNumberFormat="1" applyFont="1" applyFill="1" applyBorder="1" applyAlignment="1">
      <alignment horizontal="right" wrapText="1"/>
    </xf>
    <xf numFmtId="182" fontId="5" fillId="2" borderId="43" xfId="28" applyFont="1" applyFill="1" applyBorder="1" applyAlignment="1" applyProtection="1">
      <alignment horizontal="center" vertical="center" wrapText="1"/>
      <protection/>
    </xf>
    <xf numFmtId="4" fontId="33" fillId="0" borderId="0" xfId="0" applyNumberFormat="1" applyFont="1" applyAlignment="1">
      <alignment/>
    </xf>
    <xf numFmtId="213" fontId="14" fillId="0" borderId="2" xfId="19" applyNumberFormat="1" applyFont="1" applyBorder="1" applyAlignment="1">
      <alignment vertical="center"/>
    </xf>
    <xf numFmtId="213" fontId="14" fillId="0" borderId="56" xfId="19" applyNumberFormat="1" applyFont="1" applyBorder="1" applyAlignment="1">
      <alignment vertical="center"/>
    </xf>
    <xf numFmtId="213" fontId="35" fillId="0" borderId="2" xfId="19" applyNumberFormat="1" applyFont="1" applyBorder="1" applyAlignment="1">
      <alignment vertical="center"/>
    </xf>
    <xf numFmtId="213" fontId="14" fillId="0" borderId="33" xfId="19" applyNumberFormat="1" applyFont="1" applyBorder="1" applyAlignment="1">
      <alignment vertical="center"/>
    </xf>
    <xf numFmtId="213" fontId="33" fillId="0" borderId="0" xfId="0" applyNumberFormat="1" applyFont="1" applyAlignment="1">
      <alignment/>
    </xf>
    <xf numFmtId="43" fontId="25" fillId="0" borderId="2" xfId="19" applyNumberFormat="1" applyFont="1" applyBorder="1" applyAlignment="1">
      <alignment horizontal="right"/>
    </xf>
    <xf numFmtId="43" fontId="25" fillId="0" borderId="46" xfId="19" applyNumberFormat="1" applyFont="1" applyBorder="1" applyAlignment="1">
      <alignment horizontal="right"/>
    </xf>
    <xf numFmtId="43" fontId="36" fillId="0" borderId="2" xfId="19" applyNumberFormat="1" applyFont="1" applyBorder="1" applyAlignment="1">
      <alignment horizontal="right"/>
    </xf>
    <xf numFmtId="4" fontId="5" fillId="0" borderId="14" xfId="0" applyNumberFormat="1" applyFont="1" applyBorder="1" applyAlignment="1">
      <alignment/>
    </xf>
    <xf numFmtId="43" fontId="5" fillId="0" borderId="2" xfId="19" applyNumberFormat="1" applyFont="1" applyBorder="1" applyAlignment="1">
      <alignment horizontal="right"/>
    </xf>
    <xf numFmtId="43" fontId="5" fillId="0" borderId="14" xfId="19" applyNumberFormat="1" applyFont="1" applyBorder="1" applyAlignment="1">
      <alignment/>
    </xf>
    <xf numFmtId="213" fontId="37" fillId="0" borderId="2" xfId="19" applyNumberFormat="1" applyFont="1" applyBorder="1" applyAlignment="1">
      <alignment horizontal="right"/>
    </xf>
    <xf numFmtId="43" fontId="5" fillId="0" borderId="6" xfId="19" applyNumberFormat="1" applyFont="1" applyBorder="1" applyAlignment="1">
      <alignment/>
    </xf>
    <xf numFmtId="3" fontId="6" fillId="0" borderId="22" xfId="0" applyNumberFormat="1" applyFont="1" applyFill="1" applyBorder="1" applyAlignment="1">
      <alignment wrapText="1"/>
    </xf>
    <xf numFmtId="3" fontId="6" fillId="0" borderId="2" xfId="0" applyNumberFormat="1" applyFont="1" applyBorder="1" applyAlignment="1">
      <alignment wrapText="1"/>
    </xf>
    <xf numFmtId="213" fontId="6" fillId="0" borderId="7" xfId="19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184" fontId="6" fillId="0" borderId="0" xfId="0" applyNumberFormat="1" applyFont="1" applyAlignment="1">
      <alignment wrapText="1"/>
    </xf>
    <xf numFmtId="184" fontId="6" fillId="0" borderId="0" xfId="0" applyNumberFormat="1" applyFont="1" applyFill="1" applyAlignment="1">
      <alignment/>
    </xf>
    <xf numFmtId="184" fontId="5" fillId="0" borderId="0" xfId="0" applyNumberFormat="1" applyFont="1" applyFill="1" applyAlignment="1">
      <alignment/>
    </xf>
    <xf numFmtId="213" fontId="4" fillId="0" borderId="31" xfId="19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Fill="1" applyAlignment="1">
      <alignment/>
    </xf>
    <xf numFmtId="43" fontId="6" fillId="0" borderId="0" xfId="0" applyNumberFormat="1" applyFont="1" applyFill="1" applyAlignment="1">
      <alignment/>
    </xf>
    <xf numFmtId="3" fontId="4" fillId="0" borderId="29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41" fontId="6" fillId="0" borderId="6" xfId="0" applyNumberFormat="1" applyFont="1" applyBorder="1" applyAlignment="1">
      <alignment horizontal="right"/>
    </xf>
    <xf numFmtId="41" fontId="6" fillId="0" borderId="14" xfId="21" applyFont="1" applyBorder="1" applyAlignment="1">
      <alignment horizontal="left"/>
    </xf>
    <xf numFmtId="213" fontId="6" fillId="0" borderId="0" xfId="19" applyNumberFormat="1" applyFont="1" applyFill="1" applyAlignment="1">
      <alignment/>
    </xf>
    <xf numFmtId="0" fontId="14" fillId="0" borderId="0" xfId="0" applyFont="1" applyFill="1" applyAlignment="1">
      <alignment horizontal="left" wrapText="1"/>
    </xf>
    <xf numFmtId="210" fontId="0" fillId="0" borderId="0" xfId="0" applyNumberFormat="1" applyFill="1" applyAlignment="1">
      <alignment/>
    </xf>
    <xf numFmtId="213" fontId="7" fillId="0" borderId="12" xfId="19" applyNumberFormat="1" applyFont="1" applyFill="1" applyBorder="1" applyAlignment="1">
      <alignment horizontal="centerContinuous"/>
    </xf>
    <xf numFmtId="213" fontId="7" fillId="0" borderId="33" xfId="19" applyNumberFormat="1" applyFont="1" applyFill="1" applyBorder="1" applyAlignment="1">
      <alignment/>
    </xf>
    <xf numFmtId="3" fontId="4" fillId="0" borderId="0" xfId="19" applyNumberFormat="1" applyFont="1" applyFill="1" applyAlignment="1">
      <alignment/>
    </xf>
    <xf numFmtId="41" fontId="7" fillId="2" borderId="17" xfId="21" applyFont="1" applyFill="1" applyBorder="1" applyAlignment="1">
      <alignment/>
    </xf>
    <xf numFmtId="41" fontId="5" fillId="2" borderId="46" xfId="21" applyFont="1" applyFill="1" applyBorder="1" applyAlignment="1">
      <alignment horizontal="center" vertical="center" wrapText="1"/>
    </xf>
    <xf numFmtId="41" fontId="7" fillId="2" borderId="15" xfId="21" applyFont="1" applyFill="1" applyBorder="1" applyAlignment="1">
      <alignment/>
    </xf>
    <xf numFmtId="41" fontId="5" fillId="2" borderId="14" xfId="21" applyFont="1" applyFill="1" applyBorder="1" applyAlignment="1">
      <alignment horizontal="center" vertical="center" wrapText="1"/>
    </xf>
    <xf numFmtId="0" fontId="5" fillId="0" borderId="7" xfId="0" applyFont="1" applyBorder="1" applyAlignment="1">
      <alignment/>
    </xf>
    <xf numFmtId="213" fontId="5" fillId="0" borderId="7" xfId="19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220" fontId="14" fillId="0" borderId="57" xfId="0" applyNumberFormat="1" applyFont="1" applyBorder="1" applyAlignment="1">
      <alignment/>
    </xf>
    <xf numFmtId="220" fontId="6" fillId="0" borderId="2" xfId="0" applyNumberFormat="1" applyFont="1" applyBorder="1" applyAlignment="1">
      <alignment horizontal="right"/>
    </xf>
    <xf numFmtId="220" fontId="6" fillId="0" borderId="50" xfId="0" applyNumberFormat="1" applyFont="1" applyBorder="1" applyAlignment="1">
      <alignment horizontal="right"/>
    </xf>
    <xf numFmtId="1" fontId="6" fillId="0" borderId="5" xfId="0" applyNumberFormat="1" applyFont="1" applyBorder="1" applyAlignment="1">
      <alignment/>
    </xf>
    <xf numFmtId="1" fontId="6" fillId="0" borderId="7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2" borderId="2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3" fontId="5" fillId="2" borderId="17" xfId="19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3" fontId="5" fillId="2" borderId="58" xfId="28" applyNumberFormat="1" applyFont="1" applyFill="1" applyBorder="1" applyAlignment="1" applyProtection="1">
      <alignment horizontal="center" vertical="center" wrapText="1"/>
      <protection/>
    </xf>
    <xf numFmtId="3" fontId="0" fillId="0" borderId="2" xfId="0" applyNumberFormat="1" applyFill="1" applyBorder="1" applyAlignment="1">
      <alignment/>
    </xf>
    <xf numFmtId="3" fontId="6" fillId="0" borderId="2" xfId="0" applyNumberFormat="1" applyFont="1" applyFill="1" applyBorder="1" applyAlignment="1" applyProtection="1">
      <alignment horizontal="right"/>
      <protection/>
    </xf>
    <xf numFmtId="3" fontId="14" fillId="0" borderId="2" xfId="19" applyNumberFormat="1" applyFont="1" applyFill="1" applyBorder="1" applyAlignment="1">
      <alignment horizontal="right" wrapText="1"/>
    </xf>
    <xf numFmtId="3" fontId="14" fillId="0" borderId="2" xfId="19" applyNumberFormat="1" applyFont="1" applyFill="1" applyBorder="1" applyAlignment="1">
      <alignment horizontal="right" wrapText="1"/>
    </xf>
    <xf numFmtId="3" fontId="6" fillId="0" borderId="2" xfId="19" applyNumberFormat="1" applyFont="1" applyFill="1" applyBorder="1" applyAlignment="1" applyProtection="1">
      <alignment horizontal="right" wrapText="1"/>
      <protection/>
    </xf>
    <xf numFmtId="3" fontId="6" fillId="0" borderId="2" xfId="0" applyNumberFormat="1" applyFont="1" applyFill="1" applyBorder="1" applyAlignment="1" applyProtection="1">
      <alignment horizontal="right"/>
      <protection/>
    </xf>
    <xf numFmtId="3" fontId="6" fillId="0" borderId="46" xfId="0" applyNumberFormat="1" applyFont="1" applyFill="1" applyBorder="1" applyAlignment="1" applyProtection="1">
      <alignment horizontal="right"/>
      <protection/>
    </xf>
    <xf numFmtId="3" fontId="5" fillId="0" borderId="59" xfId="0" applyNumberFormat="1" applyFont="1" applyFill="1" applyBorder="1" applyAlignment="1" applyProtection="1">
      <alignment horizontal="right"/>
      <protection/>
    </xf>
    <xf numFmtId="3" fontId="6" fillId="0" borderId="17" xfId="0" applyNumberFormat="1" applyFont="1" applyFill="1" applyBorder="1" applyAlignment="1" applyProtection="1">
      <alignment horizontal="right"/>
      <protection/>
    </xf>
    <xf numFmtId="3" fontId="6" fillId="0" borderId="59" xfId="0" applyNumberFormat="1" applyFont="1" applyFill="1" applyBorder="1" applyAlignment="1" applyProtection="1">
      <alignment horizontal="right"/>
      <protection/>
    </xf>
    <xf numFmtId="3" fontId="6" fillId="0" borderId="2" xfId="0" applyNumberFormat="1" applyFont="1" applyFill="1" applyBorder="1" applyAlignment="1">
      <alignment horizontal="right"/>
    </xf>
    <xf numFmtId="3" fontId="5" fillId="0" borderId="60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 applyProtection="1">
      <alignment horizontal="right"/>
      <protection/>
    </xf>
    <xf numFmtId="3" fontId="5" fillId="0" borderId="42" xfId="0" applyNumberFormat="1" applyFont="1" applyFill="1" applyBorder="1" applyAlignment="1" applyProtection="1">
      <alignment horizontal="right"/>
      <protection/>
    </xf>
    <xf numFmtId="184" fontId="5" fillId="0" borderId="2" xfId="0" applyNumberFormat="1" applyFont="1" applyBorder="1" applyAlignment="1">
      <alignment/>
    </xf>
    <xf numFmtId="0" fontId="34" fillId="0" borderId="51" xfId="23" applyFont="1" applyFill="1" applyBorder="1" applyAlignment="1">
      <alignment vertical="center"/>
      <protection/>
    </xf>
    <xf numFmtId="213" fontId="4" fillId="0" borderId="0" xfId="19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Continuous"/>
    </xf>
    <xf numFmtId="41" fontId="5" fillId="0" borderId="11" xfId="21" applyFont="1" applyFill="1" applyBorder="1" applyAlignment="1">
      <alignment horizontal="centerContinuous"/>
    </xf>
    <xf numFmtId="213" fontId="5" fillId="0" borderId="12" xfId="19" applyNumberFormat="1" applyFont="1" applyFill="1" applyBorder="1" applyAlignment="1">
      <alignment horizontal="centerContinuous"/>
    </xf>
    <xf numFmtId="41" fontId="6" fillId="0" borderId="24" xfId="21" applyFont="1" applyFill="1" applyBorder="1" applyAlignment="1">
      <alignment horizontal="center" vertical="center" wrapText="1"/>
    </xf>
    <xf numFmtId="213" fontId="5" fillId="0" borderId="27" xfId="19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41" fontId="5" fillId="0" borderId="31" xfId="21" applyFont="1" applyFill="1" applyBorder="1" applyAlignment="1">
      <alignment/>
    </xf>
    <xf numFmtId="213" fontId="5" fillId="0" borderId="2" xfId="19" applyNumberFormat="1" applyFont="1" applyFill="1" applyBorder="1" applyAlignment="1">
      <alignment/>
    </xf>
    <xf numFmtId="213" fontId="0" fillId="0" borderId="0" xfId="0" applyNumberFormat="1" applyFill="1" applyAlignment="1">
      <alignment/>
    </xf>
    <xf numFmtId="41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1" fontId="6" fillId="0" borderId="36" xfId="2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6" fillId="0" borderId="0" xfId="0" applyNumberFormat="1" applyFont="1" applyFill="1" applyAlignment="1">
      <alignment horizontal="right"/>
    </xf>
    <xf numFmtId="3" fontId="4" fillId="0" borderId="22" xfId="0" applyNumberFormat="1" applyFont="1" applyBorder="1" applyAlignment="1" quotePrefix="1">
      <alignment/>
    </xf>
    <xf numFmtId="3" fontId="22" fillId="2" borderId="0" xfId="0" applyNumberFormat="1" applyFont="1" applyFill="1" applyAlignment="1">
      <alignment/>
    </xf>
    <xf numFmtId="0" fontId="35" fillId="0" borderId="1" xfId="0" applyFont="1" applyBorder="1" applyAlignment="1">
      <alignment vertical="center"/>
    </xf>
    <xf numFmtId="0" fontId="6" fillId="0" borderId="7" xfId="0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/>
    </xf>
    <xf numFmtId="0" fontId="6" fillId="0" borderId="7" xfId="0" applyFont="1" applyFill="1" applyBorder="1" applyAlignment="1" quotePrefix="1">
      <alignment/>
    </xf>
    <xf numFmtId="0" fontId="6" fillId="0" borderId="0" xfId="0" applyFont="1" applyFill="1" applyAlignment="1">
      <alignment wrapText="1"/>
    </xf>
    <xf numFmtId="43" fontId="6" fillId="0" borderId="0" xfId="19" applyFont="1" applyFill="1" applyAlignment="1">
      <alignment wrapText="1"/>
    </xf>
    <xf numFmtId="43" fontId="6" fillId="0" borderId="0" xfId="0" applyNumberFormat="1" applyFont="1" applyFill="1" applyAlignment="1">
      <alignment wrapText="1"/>
    </xf>
    <xf numFmtId="184" fontId="6" fillId="0" borderId="0" xfId="0" applyNumberFormat="1" applyFont="1" applyFill="1" applyAlignment="1">
      <alignment wrapText="1"/>
    </xf>
    <xf numFmtId="184" fontId="6" fillId="0" borderId="53" xfId="0" applyNumberFormat="1" applyFont="1" applyFill="1" applyBorder="1" applyAlignment="1">
      <alignment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14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61" xfId="0" applyFont="1" applyBorder="1" applyAlignment="1">
      <alignment vertical="center"/>
    </xf>
    <xf numFmtId="0" fontId="35" fillId="0" borderId="31" xfId="0" applyFont="1" applyBorder="1" applyAlignment="1">
      <alignment vertical="center"/>
    </xf>
    <xf numFmtId="0" fontId="34" fillId="0" borderId="13" xfId="0" applyFont="1" applyBorder="1" applyAlignment="1">
      <alignment vertical="center"/>
    </xf>
    <xf numFmtId="213" fontId="6" fillId="0" borderId="50" xfId="19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41" fontId="5" fillId="0" borderId="6" xfId="0" applyNumberFormat="1" applyFont="1" applyBorder="1" applyAlignment="1">
      <alignment/>
    </xf>
    <xf numFmtId="213" fontId="5" fillId="0" borderId="41" xfId="19" applyNumberFormat="1" applyFont="1" applyFill="1" applyBorder="1" applyAlignment="1">
      <alignment/>
    </xf>
    <xf numFmtId="213" fontId="4" fillId="0" borderId="0" xfId="0" applyNumberFormat="1" applyFont="1" applyFill="1" applyAlignment="1">
      <alignment/>
    </xf>
    <xf numFmtId="43" fontId="4" fillId="0" borderId="0" xfId="0" applyNumberFormat="1" applyFont="1" applyFill="1" applyAlignment="1">
      <alignment/>
    </xf>
    <xf numFmtId="213" fontId="7" fillId="2" borderId="30" xfId="19" applyNumberFormat="1" applyFont="1" applyFill="1" applyBorder="1" applyAlignment="1">
      <alignment horizontal="centerContinuous"/>
    </xf>
    <xf numFmtId="213" fontId="7" fillId="2" borderId="50" xfId="19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left" wrapText="1"/>
    </xf>
    <xf numFmtId="0" fontId="11" fillId="0" borderId="9" xfId="0" applyFont="1" applyBorder="1" applyAlignment="1">
      <alignment horizontal="left"/>
    </xf>
    <xf numFmtId="0" fontId="7" fillId="0" borderId="6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64" xfId="0" applyFont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/>
    </xf>
    <xf numFmtId="0" fontId="6" fillId="0" borderId="61" xfId="0" applyFont="1" applyBorder="1" applyAlignment="1">
      <alignment vertical="center"/>
    </xf>
    <xf numFmtId="4" fontId="6" fillId="0" borderId="31" xfId="0" applyNumberFormat="1" applyFont="1" applyBorder="1" applyAlignment="1">
      <alignment vertical="center"/>
    </xf>
    <xf numFmtId="0" fontId="7" fillId="0" borderId="63" xfId="0" applyFont="1" applyFill="1" applyBorder="1" applyAlignment="1">
      <alignment horizontal="left" vertical="center"/>
    </xf>
    <xf numFmtId="0" fontId="7" fillId="0" borderId="6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61" xfId="0" applyFont="1" applyBorder="1" applyAlignment="1">
      <alignment vertical="center"/>
    </xf>
    <xf numFmtId="4" fontId="4" fillId="0" borderId="31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43" fontId="6" fillId="0" borderId="0" xfId="19" applyFont="1" applyFill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vertical="center" wrapText="1"/>
    </xf>
    <xf numFmtId="4" fontId="7" fillId="0" borderId="33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43" fontId="35" fillId="0" borderId="0" xfId="19" applyFont="1" applyAlignment="1">
      <alignment vertical="center"/>
    </xf>
    <xf numFmtId="2" fontId="35" fillId="0" borderId="0" xfId="0" applyNumberFormat="1" applyFont="1" applyAlignment="1">
      <alignment vertical="center"/>
    </xf>
    <xf numFmtId="43" fontId="35" fillId="0" borderId="0" xfId="0" applyNumberFormat="1" applyFont="1" applyAlignment="1">
      <alignment vertical="center"/>
    </xf>
    <xf numFmtId="4" fontId="35" fillId="0" borderId="0" xfId="0" applyNumberFormat="1" applyFont="1" applyAlignment="1">
      <alignment vertical="center"/>
    </xf>
    <xf numFmtId="41" fontId="35" fillId="0" borderId="0" xfId="0" applyNumberFormat="1" applyFont="1" applyAlignment="1">
      <alignment vertical="center"/>
    </xf>
    <xf numFmtId="0" fontId="7" fillId="0" borderId="65" xfId="0" applyFont="1" applyFill="1" applyBorder="1" applyAlignment="1">
      <alignment horizontal="left" vertical="center"/>
    </xf>
    <xf numFmtId="0" fontId="6" fillId="0" borderId="65" xfId="0" applyFont="1" applyBorder="1" applyAlignment="1">
      <alignment vertical="center"/>
    </xf>
    <xf numFmtId="4" fontId="35" fillId="0" borderId="31" xfId="0" applyNumberFormat="1" applyFont="1" applyBorder="1" applyAlignment="1">
      <alignment vertical="center"/>
    </xf>
    <xf numFmtId="0" fontId="6" fillId="0" borderId="65" xfId="0" applyFont="1" applyBorder="1" applyAlignment="1">
      <alignment horizontal="right" vertical="center"/>
    </xf>
    <xf numFmtId="4" fontId="34" fillId="0" borderId="13" xfId="0" applyNumberFormat="1" applyFont="1" applyBorder="1" applyAlignment="1">
      <alignment vertical="center"/>
    </xf>
    <xf numFmtId="4" fontId="34" fillId="0" borderId="33" xfId="0" applyNumberFormat="1" applyFont="1" applyBorder="1" applyAlignment="1">
      <alignment vertical="center"/>
    </xf>
    <xf numFmtId="0" fontId="7" fillId="0" borderId="32" xfId="0" applyFont="1" applyBorder="1" applyAlignment="1">
      <alignment horizontal="right" vertical="center"/>
    </xf>
    <xf numFmtId="0" fontId="7" fillId="0" borderId="66" xfId="0" applyFont="1" applyBorder="1" applyAlignment="1">
      <alignment horizontal="right" vertical="center"/>
    </xf>
    <xf numFmtId="0" fontId="7" fillId="0" borderId="55" xfId="0" applyFont="1" applyBorder="1" applyAlignment="1">
      <alignment horizontal="right" vertic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5" fillId="2" borderId="22" xfId="0" applyFont="1" applyFill="1" applyBorder="1" applyAlignment="1">
      <alignment horizontal="center" vertical="center" wrapText="1"/>
    </xf>
    <xf numFmtId="0" fontId="35" fillId="2" borderId="15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 wrapText="1"/>
    </xf>
    <xf numFmtId="0" fontId="35" fillId="2" borderId="16" xfId="0" applyFont="1" applyFill="1" applyBorder="1" applyAlignment="1">
      <alignment horizontal="center" vertical="center" wrapText="1"/>
    </xf>
    <xf numFmtId="0" fontId="35" fillId="2" borderId="36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35" fillId="2" borderId="14" xfId="0" applyFont="1" applyFill="1" applyBorder="1" applyAlignment="1">
      <alignment horizontal="center" vertical="center" wrapText="1"/>
    </xf>
    <xf numFmtId="0" fontId="35" fillId="2" borderId="31" xfId="0" applyFont="1" applyFill="1" applyBorder="1" applyAlignment="1">
      <alignment horizontal="center" vertical="center" wrapText="1"/>
    </xf>
    <xf numFmtId="0" fontId="35" fillId="2" borderId="50" xfId="0" applyFont="1" applyFill="1" applyBorder="1" applyAlignment="1">
      <alignment horizontal="center" vertical="center" wrapText="1"/>
    </xf>
    <xf numFmtId="0" fontId="34" fillId="0" borderId="32" xfId="0" applyFont="1" applyBorder="1" applyAlignment="1">
      <alignment horizontal="right" vertical="center"/>
    </xf>
    <xf numFmtId="0" fontId="34" fillId="0" borderId="66" xfId="0" applyFont="1" applyBorder="1" applyAlignment="1">
      <alignment horizontal="right" vertical="center"/>
    </xf>
    <xf numFmtId="0" fontId="34" fillId="0" borderId="55" xfId="0" applyFont="1" applyBorder="1" applyAlignment="1">
      <alignment horizontal="right" vertical="center"/>
    </xf>
    <xf numFmtId="0" fontId="35" fillId="2" borderId="25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3" fontId="5" fillId="0" borderId="67" xfId="0" applyNumberFormat="1" applyFont="1" applyBorder="1" applyAlignment="1">
      <alignment horizontal="center" wrapText="1"/>
    </xf>
    <xf numFmtId="213" fontId="6" fillId="2" borderId="30" xfId="19" applyNumberFormat="1" applyFont="1" applyFill="1" applyBorder="1" applyAlignment="1">
      <alignment horizontal="center" vertical="center" wrapText="1"/>
    </xf>
    <xf numFmtId="213" fontId="6" fillId="2" borderId="50" xfId="19" applyNumberFormat="1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/>
    </xf>
  </cellXfs>
  <cellStyles count="15">
    <cellStyle name="Normal" xfId="0"/>
    <cellStyle name="Hyperlink" xfId="15"/>
    <cellStyle name="Followed Hyperlink" xfId="16"/>
    <cellStyle name="Currency_Book2" xfId="17"/>
    <cellStyle name="Euro" xfId="18"/>
    <cellStyle name="Comma" xfId="19"/>
    <cellStyle name="Migliaia (0)_PDCNAT" xfId="20"/>
    <cellStyle name="Comma [0]" xfId="21"/>
    <cellStyle name="Normal_all7_pdc" xfId="22"/>
    <cellStyle name="Normale_Masterbudget2009" xfId="23"/>
    <cellStyle name="Percent" xfId="24"/>
    <cellStyle name="Titolo" xfId="25"/>
    <cellStyle name="Currency" xfId="26"/>
    <cellStyle name="Valuta (0)_1NOTIN99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19"/>
  <sheetViews>
    <sheetView workbookViewId="0" topLeftCell="A1">
      <selection activeCell="A20" sqref="A20"/>
    </sheetView>
  </sheetViews>
  <sheetFormatPr defaultColWidth="9.140625" defaultRowHeight="12.75"/>
  <cols>
    <col min="1" max="1" width="91.8515625" style="0" customWidth="1"/>
    <col min="9" max="9" width="18.421875" style="0" customWidth="1"/>
  </cols>
  <sheetData>
    <row r="5" ht="19.5">
      <c r="A5" s="192" t="s">
        <v>590</v>
      </c>
    </row>
    <row r="6" ht="23.25">
      <c r="A6" s="193"/>
    </row>
    <row r="7" ht="23.25">
      <c r="A7" s="193"/>
    </row>
    <row r="8" ht="23.25">
      <c r="A8" s="193"/>
    </row>
    <row r="9" ht="23.25">
      <c r="A9" s="193"/>
    </row>
    <row r="10" ht="23.25">
      <c r="A10" s="193"/>
    </row>
    <row r="11" ht="23.25">
      <c r="A11" s="193"/>
    </row>
    <row r="12" ht="23.25">
      <c r="A12" s="193"/>
    </row>
    <row r="19" ht="18">
      <c r="A19" s="194" t="s">
        <v>22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showGridLines="0" workbookViewId="0" topLeftCell="A1">
      <selection activeCell="F38" sqref="A1:F38"/>
    </sheetView>
  </sheetViews>
  <sheetFormatPr defaultColWidth="9.140625" defaultRowHeight="12.75"/>
  <cols>
    <col min="1" max="1" width="38.28125" style="3" customWidth="1"/>
    <col min="2" max="6" width="15.8515625" style="71" customWidth="1"/>
    <col min="7" max="7" width="12.00390625" style="504" bestFit="1" customWidth="1"/>
    <col min="8" max="8" width="12.421875" style="264" customWidth="1"/>
    <col min="9" max="9" width="16.140625" style="264" customWidth="1"/>
    <col min="10" max="19" width="9.140625" style="264" customWidth="1"/>
    <col min="20" max="16384" width="9.140625" style="3" customWidth="1"/>
  </cols>
  <sheetData>
    <row r="1" spans="1:19" s="14" customFormat="1" ht="11.25">
      <c r="A1" s="13" t="s">
        <v>104</v>
      </c>
      <c r="B1" s="83"/>
      <c r="C1" s="83"/>
      <c r="D1" s="83"/>
      <c r="E1" s="83"/>
      <c r="F1" s="83"/>
      <c r="G1" s="640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</row>
    <row r="2" spans="2:19" s="14" customFormat="1" ht="12" thickBot="1">
      <c r="B2" s="83"/>
      <c r="C2" s="83"/>
      <c r="D2" s="83"/>
      <c r="E2" s="83"/>
      <c r="F2" s="83"/>
      <c r="G2" s="640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</row>
    <row r="3" spans="1:19" s="14" customFormat="1" ht="13.5" customHeight="1" thickBot="1">
      <c r="A3" s="16" t="s">
        <v>324</v>
      </c>
      <c r="B3" s="72"/>
      <c r="C3" s="72"/>
      <c r="D3" s="72"/>
      <c r="E3" s="72"/>
      <c r="F3" s="165"/>
      <c r="G3" s="640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</row>
    <row r="4" spans="1:19" s="14" customFormat="1" ht="24.75" customHeight="1">
      <c r="A4" s="234" t="s">
        <v>229</v>
      </c>
      <c r="B4" s="235" t="s">
        <v>232</v>
      </c>
      <c r="C4" s="74" t="s">
        <v>234</v>
      </c>
      <c r="D4" s="74" t="s">
        <v>282</v>
      </c>
      <c r="E4" s="74" t="s">
        <v>253</v>
      </c>
      <c r="F4" s="166" t="s">
        <v>235</v>
      </c>
      <c r="G4" s="640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</row>
    <row r="5" spans="1:19" s="14" customFormat="1" ht="11.25">
      <c r="A5" s="5"/>
      <c r="B5" s="68"/>
      <c r="C5" s="68"/>
      <c r="D5" s="69"/>
      <c r="E5" s="69"/>
      <c r="F5" s="167"/>
      <c r="G5" s="640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</row>
    <row r="6" spans="1:19" s="14" customFormat="1" ht="11.25">
      <c r="A6" s="5" t="s">
        <v>325</v>
      </c>
      <c r="B6" s="68"/>
      <c r="C6" s="68"/>
      <c r="D6" s="69"/>
      <c r="E6" s="69"/>
      <c r="F6" s="167"/>
      <c r="G6" s="640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</row>
    <row r="7" spans="1:19" s="14" customFormat="1" ht="11.25">
      <c r="A7" s="5" t="s">
        <v>326</v>
      </c>
      <c r="B7" s="236">
        <v>0</v>
      </c>
      <c r="C7" s="68"/>
      <c r="D7" s="69"/>
      <c r="E7" s="69"/>
      <c r="F7" s="167">
        <f>+B7+C7+D7-E7</f>
        <v>0</v>
      </c>
      <c r="G7" s="640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</row>
    <row r="8" spans="1:19" s="14" customFormat="1" ht="11.25">
      <c r="A8" s="5" t="s">
        <v>327</v>
      </c>
      <c r="B8" s="236">
        <v>0</v>
      </c>
      <c r="C8" s="68"/>
      <c r="D8" s="69"/>
      <c r="E8" s="69"/>
      <c r="F8" s="268">
        <f>+B8+C8+D8-E8</f>
        <v>0</v>
      </c>
      <c r="G8" s="640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</row>
    <row r="9" spans="1:19" s="14" customFormat="1" ht="11.25">
      <c r="A9" s="5"/>
      <c r="B9" s="236"/>
      <c r="C9" s="68"/>
      <c r="D9" s="69"/>
      <c r="E9" s="69"/>
      <c r="F9" s="167"/>
      <c r="G9" s="640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1"/>
    </row>
    <row r="10" spans="1:19" s="14" customFormat="1" ht="11.25">
      <c r="A10" s="5" t="s">
        <v>328</v>
      </c>
      <c r="B10" s="236">
        <v>5580632</v>
      </c>
      <c r="C10" s="68"/>
      <c r="D10" s="69">
        <f>39487810-B10-B10</f>
        <v>28326546</v>
      </c>
      <c r="E10" s="69">
        <f>37814385-B10</f>
        <v>32233753</v>
      </c>
      <c r="F10" s="167">
        <f>+B10+C10+D10-E10</f>
        <v>1673425</v>
      </c>
      <c r="G10" s="640"/>
      <c r="H10" s="380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</row>
    <row r="11" spans="1:19" s="14" customFormat="1" ht="11.25">
      <c r="A11" s="5"/>
      <c r="B11" s="236"/>
      <c r="C11" s="68"/>
      <c r="D11" s="69"/>
      <c r="E11" s="69"/>
      <c r="F11" s="167"/>
      <c r="G11" s="640"/>
      <c r="H11" s="380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1"/>
    </row>
    <row r="12" spans="1:8" s="381" customFormat="1" ht="11.25">
      <c r="A12" s="260" t="s">
        <v>329</v>
      </c>
      <c r="B12" s="379">
        <v>0</v>
      </c>
      <c r="C12" s="261"/>
      <c r="D12" s="334"/>
      <c r="E12" s="334"/>
      <c r="F12" s="268">
        <f>+B12+C12+D12-E12</f>
        <v>0</v>
      </c>
      <c r="G12" s="640"/>
      <c r="H12" s="380"/>
    </row>
    <row r="13" spans="1:8" s="381" customFormat="1" ht="11.25">
      <c r="A13" s="260"/>
      <c r="B13" s="379"/>
      <c r="C13" s="261"/>
      <c r="D13" s="334"/>
      <c r="E13" s="334"/>
      <c r="F13" s="268"/>
      <c r="G13" s="640"/>
      <c r="H13" s="380"/>
    </row>
    <row r="14" spans="1:8" s="381" customFormat="1" ht="11.25">
      <c r="A14" s="260" t="s">
        <v>645</v>
      </c>
      <c r="B14" s="379">
        <v>404023</v>
      </c>
      <c r="C14" s="261"/>
      <c r="D14" s="334"/>
      <c r="E14" s="334">
        <v>404023</v>
      </c>
      <c r="F14" s="268">
        <f>+B14+C14+D14-E14</f>
        <v>0</v>
      </c>
      <c r="G14" s="640"/>
      <c r="H14" s="380"/>
    </row>
    <row r="15" spans="1:19" s="14" customFormat="1" ht="11.25">
      <c r="A15" s="5"/>
      <c r="B15" s="236"/>
      <c r="C15" s="68"/>
      <c r="D15" s="69"/>
      <c r="E15" s="69"/>
      <c r="F15" s="167"/>
      <c r="G15" s="640"/>
      <c r="H15" s="380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</row>
    <row r="16" spans="1:19" s="14" customFormat="1" ht="11.25">
      <c r="A16" s="5" t="s">
        <v>330</v>
      </c>
      <c r="B16" s="236">
        <v>2390576</v>
      </c>
      <c r="C16" s="68"/>
      <c r="D16" s="69">
        <f>19453459-B16-B16</f>
        <v>14672307</v>
      </c>
      <c r="E16" s="69">
        <f>17044182-B16</f>
        <v>14653606</v>
      </c>
      <c r="F16" s="167">
        <f>+B16+C16+D16-E16</f>
        <v>2409277</v>
      </c>
      <c r="G16" s="640"/>
      <c r="H16" s="380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</row>
    <row r="17" spans="1:19" s="14" customFormat="1" ht="11.25">
      <c r="A17" s="5"/>
      <c r="B17" s="236"/>
      <c r="C17" s="68"/>
      <c r="D17" s="69"/>
      <c r="E17" s="69"/>
      <c r="F17" s="167"/>
      <c r="G17" s="640"/>
      <c r="H17" s="380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</row>
    <row r="18" spans="1:8" s="381" customFormat="1" ht="11.25">
      <c r="A18" s="260" t="s">
        <v>331</v>
      </c>
      <c r="B18" s="379">
        <v>11754176</v>
      </c>
      <c r="C18" s="261"/>
      <c r="D18" s="334">
        <f>227790844-B18-B18</f>
        <v>204282492</v>
      </c>
      <c r="E18" s="334">
        <f>216902625-B18</f>
        <v>205148449</v>
      </c>
      <c r="F18" s="268">
        <f>+B18+C18+D18-E18</f>
        <v>10888219</v>
      </c>
      <c r="G18" s="640"/>
      <c r="H18" s="380"/>
    </row>
    <row r="19" spans="1:19" s="14" customFormat="1" ht="11.25">
      <c r="A19" s="5"/>
      <c r="B19" s="236"/>
      <c r="C19" s="68"/>
      <c r="D19" s="69"/>
      <c r="E19" s="69"/>
      <c r="F19" s="167"/>
      <c r="G19" s="640"/>
      <c r="H19" s="380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</row>
    <row r="20" spans="1:8" ht="11.25">
      <c r="A20" s="5" t="s">
        <v>332</v>
      </c>
      <c r="B20" s="216">
        <v>738622</v>
      </c>
      <c r="C20" s="68"/>
      <c r="D20" s="69">
        <f>1537983-B20-B20</f>
        <v>60739</v>
      </c>
      <c r="E20" s="69">
        <f>843939-B20</f>
        <v>105317</v>
      </c>
      <c r="F20" s="167">
        <f>+B20+C20+D20-E20</f>
        <v>694044</v>
      </c>
      <c r="H20" s="380"/>
    </row>
    <row r="21" spans="1:8" ht="11.25">
      <c r="A21" s="5"/>
      <c r="B21" s="216"/>
      <c r="C21" s="68"/>
      <c r="D21" s="69"/>
      <c r="E21" s="69"/>
      <c r="F21" s="167"/>
      <c r="H21" s="380"/>
    </row>
    <row r="22" spans="1:8" ht="11.25">
      <c r="A22" s="5" t="s">
        <v>333</v>
      </c>
      <c r="B22" s="216">
        <v>21817401</v>
      </c>
      <c r="C22" s="68"/>
      <c r="D22" s="334">
        <f>151148910-B22-B22</f>
        <v>107514108</v>
      </c>
      <c r="E22" s="334">
        <f>136402356-B22</f>
        <v>114584955</v>
      </c>
      <c r="F22" s="268">
        <f>+B22+C22+D22-E22</f>
        <v>14746554</v>
      </c>
      <c r="H22" s="380"/>
    </row>
    <row r="23" spans="1:8" ht="11.25">
      <c r="A23" s="5"/>
      <c r="B23" s="216"/>
      <c r="C23" s="68"/>
      <c r="D23" s="69"/>
      <c r="E23" s="69"/>
      <c r="F23" s="167"/>
      <c r="H23" s="380"/>
    </row>
    <row r="24" spans="1:8" ht="11.25">
      <c r="A24" s="5" t="s">
        <v>334</v>
      </c>
      <c r="B24" s="216"/>
      <c r="C24" s="68"/>
      <c r="D24" s="69"/>
      <c r="E24" s="69"/>
      <c r="F24" s="167"/>
      <c r="H24" s="380"/>
    </row>
    <row r="25" spans="1:8" ht="11.25">
      <c r="A25" s="5" t="s">
        <v>335</v>
      </c>
      <c r="B25" s="216"/>
      <c r="C25" s="68"/>
      <c r="D25" s="69"/>
      <c r="E25" s="69"/>
      <c r="F25" s="167"/>
      <c r="H25" s="380"/>
    </row>
    <row r="26" spans="1:8" ht="11.25">
      <c r="A26" s="5" t="s">
        <v>336</v>
      </c>
      <c r="B26" s="216"/>
      <c r="C26" s="68"/>
      <c r="D26" s="69"/>
      <c r="E26" s="69"/>
      <c r="F26" s="167"/>
      <c r="H26" s="380"/>
    </row>
    <row r="27" spans="1:8" ht="11.25">
      <c r="A27" s="5"/>
      <c r="B27" s="216"/>
      <c r="C27" s="68"/>
      <c r="D27" s="69"/>
      <c r="E27" s="69"/>
      <c r="F27" s="167"/>
      <c r="H27" s="380"/>
    </row>
    <row r="28" spans="1:8" ht="11.25">
      <c r="A28" s="5" t="s">
        <v>337</v>
      </c>
      <c r="B28" s="216">
        <v>3814696</v>
      </c>
      <c r="C28" s="68"/>
      <c r="D28" s="69">
        <f>77476888-B28-B28</f>
        <v>69847496</v>
      </c>
      <c r="E28" s="69">
        <f>74584533-B28</f>
        <v>70769837</v>
      </c>
      <c r="F28" s="167">
        <f>+B28+C28+D28-E28</f>
        <v>2892355</v>
      </c>
      <c r="H28" s="380"/>
    </row>
    <row r="29" spans="1:8" ht="11.25">
      <c r="A29" s="5"/>
      <c r="B29" s="216"/>
      <c r="C29" s="68"/>
      <c r="D29" s="69"/>
      <c r="E29" s="69"/>
      <c r="F29" s="167"/>
      <c r="H29" s="380"/>
    </row>
    <row r="30" spans="1:8" s="264" customFormat="1" ht="11.25">
      <c r="A30" s="260" t="s">
        <v>338</v>
      </c>
      <c r="B30" s="444">
        <v>2289621</v>
      </c>
      <c r="C30" s="261"/>
      <c r="D30" s="334">
        <f>22280613-B30-B30</f>
        <v>17701371</v>
      </c>
      <c r="E30" s="334">
        <f>22069581-B30</f>
        <v>19779960</v>
      </c>
      <c r="F30" s="268">
        <f>+B30+C30+D30-E30</f>
        <v>211032</v>
      </c>
      <c r="G30" s="504"/>
      <c r="H30" s="380"/>
    </row>
    <row r="31" spans="1:8" ht="11.25">
      <c r="A31" s="5"/>
      <c r="B31" s="216"/>
      <c r="C31" s="68"/>
      <c r="D31" s="69"/>
      <c r="E31" s="69"/>
      <c r="F31" s="167"/>
      <c r="H31" s="380"/>
    </row>
    <row r="32" spans="1:8" ht="11.25">
      <c r="A32" s="5" t="s">
        <v>339</v>
      </c>
      <c r="B32" s="216">
        <v>502582</v>
      </c>
      <c r="C32" s="68"/>
      <c r="D32" s="69">
        <f>20891935-B32-B32</f>
        <v>19886771</v>
      </c>
      <c r="E32" s="69">
        <f>20584724-B32</f>
        <v>20082142</v>
      </c>
      <c r="F32" s="167">
        <f>+B32+C32+D32-E32</f>
        <v>307211</v>
      </c>
      <c r="H32" s="380"/>
    </row>
    <row r="33" spans="1:8" ht="11.25">
      <c r="A33" s="5"/>
      <c r="B33" s="216"/>
      <c r="C33" s="68"/>
      <c r="D33" s="69"/>
      <c r="E33" s="69"/>
      <c r="F33" s="167"/>
      <c r="H33" s="380"/>
    </row>
    <row r="34" spans="1:8" ht="11.25">
      <c r="A34" s="5" t="s">
        <v>340</v>
      </c>
      <c r="B34" s="68"/>
      <c r="C34" s="68"/>
      <c r="D34" s="69"/>
      <c r="E34" s="69"/>
      <c r="F34" s="167"/>
      <c r="H34" s="380"/>
    </row>
    <row r="35" spans="1:8" ht="11.25">
      <c r="A35" s="5" t="s">
        <v>440</v>
      </c>
      <c r="B35" s="216">
        <v>2701160</v>
      </c>
      <c r="C35" s="68"/>
      <c r="D35" s="69">
        <f>26187173-B35-B35</f>
        <v>20784853</v>
      </c>
      <c r="E35" s="69">
        <f>23467477-B35</f>
        <v>20766317</v>
      </c>
      <c r="F35" s="167">
        <f>+B35+C35+D35-E35</f>
        <v>2719696</v>
      </c>
      <c r="H35" s="380"/>
    </row>
    <row r="36" spans="1:8" ht="11.25">
      <c r="A36" s="5" t="s">
        <v>439</v>
      </c>
      <c r="B36" s="216">
        <v>4527988</v>
      </c>
      <c r="C36" s="68"/>
      <c r="D36" s="69">
        <f>72716936-B36-B36</f>
        <v>63660960</v>
      </c>
      <c r="E36" s="69">
        <f>67985013-B36</f>
        <v>63457025</v>
      </c>
      <c r="F36" s="167">
        <f>+B36+C36+D36-E36</f>
        <v>4731923</v>
      </c>
      <c r="H36" s="380"/>
    </row>
    <row r="37" spans="1:9" ht="11.25">
      <c r="A37" s="5" t="s">
        <v>665</v>
      </c>
      <c r="B37" s="216"/>
      <c r="C37" s="68"/>
      <c r="D37" s="69"/>
      <c r="E37" s="69"/>
      <c r="F37" s="167"/>
      <c r="H37" s="380"/>
      <c r="I37" s="335"/>
    </row>
    <row r="38" spans="1:8" ht="12" thickBot="1">
      <c r="A38" s="7" t="s">
        <v>341</v>
      </c>
      <c r="B38" s="80">
        <f>SUM(B5:B37)</f>
        <v>56521477</v>
      </c>
      <c r="C38" s="80">
        <f>SUM(C6:C37)</f>
        <v>0</v>
      </c>
      <c r="D38" s="80">
        <f>SUM(D6:D37)</f>
        <v>546737643</v>
      </c>
      <c r="E38" s="80">
        <f>SUM(E6:E37)</f>
        <v>561985384</v>
      </c>
      <c r="F38" s="441">
        <f>SUM(F6:F37)</f>
        <v>41273736</v>
      </c>
      <c r="H38" s="380"/>
    </row>
    <row r="39" spans="2:6" ht="12.75">
      <c r="B39" s="84"/>
      <c r="E39" s="69"/>
      <c r="F39" s="445"/>
    </row>
    <row r="40" ht="11.25">
      <c r="F40" s="396"/>
    </row>
    <row r="41" spans="1:6" ht="11.25">
      <c r="A41" s="388"/>
      <c r="B41" s="388"/>
      <c r="D41" s="174"/>
      <c r="E41" s="174"/>
      <c r="F41" s="238"/>
    </row>
    <row r="42" spans="1:6" ht="11.25">
      <c r="A42" s="388"/>
      <c r="B42" s="389"/>
      <c r="F42" s="238"/>
    </row>
    <row r="43" spans="1:6" ht="11.25">
      <c r="A43" s="388"/>
      <c r="B43" s="390"/>
      <c r="F43" s="238"/>
    </row>
    <row r="44" ht="11.25">
      <c r="F44" s="238"/>
    </row>
    <row r="45" ht="11.25">
      <c r="F45" s="238"/>
    </row>
    <row r="46" ht="11.25">
      <c r="F46" s="238"/>
    </row>
    <row r="47" ht="11.25">
      <c r="F47" s="238"/>
    </row>
    <row r="48" ht="11.25">
      <c r="F48" s="238"/>
    </row>
    <row r="49" ht="11.25">
      <c r="F49" s="238"/>
    </row>
    <row r="50" ht="11.25">
      <c r="F50" s="238"/>
    </row>
  </sheetData>
  <printOptions horizontalCentered="1" verticalCentered="1"/>
  <pageMargins left="0.2362204724409449" right="0.2362204724409449" top="0.984251968503937" bottom="0.984251968503937" header="0.5118110236220472" footer="0.5118110236220472"/>
  <pageSetup firstPageNumber="59" useFirstPageNumber="1" fitToHeight="1" fitToWidth="1" horizontalDpi="300" verticalDpi="300" orientation="landscape" paperSize="9" scale="92" r:id="rId1"/>
  <headerFooter alignWithMargins="0">
    <oddHeader>&amp;CTabella N.I.8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54"/>
  <sheetViews>
    <sheetView showGridLines="0" workbookViewId="0" topLeftCell="A1">
      <selection activeCell="B18" sqref="B18"/>
    </sheetView>
  </sheetViews>
  <sheetFormatPr defaultColWidth="9.140625" defaultRowHeight="12.75"/>
  <cols>
    <col min="1" max="1" width="33.140625" style="3" customWidth="1"/>
    <col min="2" max="6" width="13.7109375" style="71" customWidth="1"/>
    <col min="7" max="7" width="12.8515625" style="3" bestFit="1" customWidth="1"/>
    <col min="8" max="9" width="9.140625" style="3" customWidth="1"/>
    <col min="10" max="10" width="9.421875" style="3" customWidth="1"/>
    <col min="11" max="11" width="9.140625" style="3" customWidth="1"/>
    <col min="12" max="12" width="11.28125" style="3" customWidth="1"/>
    <col min="13" max="16384" width="9.140625" style="3" customWidth="1"/>
  </cols>
  <sheetData>
    <row r="1" ht="11.25">
      <c r="A1" s="2" t="s">
        <v>105</v>
      </c>
    </row>
    <row r="2" ht="11.25">
      <c r="A2" s="2"/>
    </row>
    <row r="3" ht="11.25">
      <c r="A3" s="2" t="s">
        <v>342</v>
      </c>
    </row>
    <row r="4" ht="12" thickBot="1"/>
    <row r="5" spans="1:5" ht="12" thickBot="1">
      <c r="A5" s="15" t="s">
        <v>343</v>
      </c>
      <c r="B5" s="178"/>
      <c r="C5" s="178"/>
      <c r="D5" s="178"/>
      <c r="E5" s="175"/>
    </row>
    <row r="6" spans="1:5" ht="11.25">
      <c r="A6" s="29"/>
      <c r="B6" s="73" t="s">
        <v>344</v>
      </c>
      <c r="C6" s="179"/>
      <c r="D6" s="180"/>
      <c r="E6" s="176"/>
    </row>
    <row r="7" spans="1:5" ht="11.25">
      <c r="A7" s="38" t="s">
        <v>229</v>
      </c>
      <c r="B7" s="74" t="s">
        <v>345</v>
      </c>
      <c r="C7" s="74" t="s">
        <v>346</v>
      </c>
      <c r="D7" s="74" t="s">
        <v>347</v>
      </c>
      <c r="E7" s="177" t="s">
        <v>348</v>
      </c>
    </row>
    <row r="8" spans="1:5" ht="11.25">
      <c r="A8" s="5"/>
      <c r="B8" s="68"/>
      <c r="C8" s="68"/>
      <c r="D8" s="68"/>
      <c r="E8" s="171"/>
    </row>
    <row r="9" spans="1:5" ht="11.25">
      <c r="A9" s="22" t="s">
        <v>251</v>
      </c>
      <c r="B9" s="68"/>
      <c r="C9" s="68"/>
      <c r="D9" s="68"/>
      <c r="E9" s="171"/>
    </row>
    <row r="10" spans="1:5" ht="11.25">
      <c r="A10" s="5"/>
      <c r="B10" s="68"/>
      <c r="C10" s="68"/>
      <c r="D10" s="68"/>
      <c r="E10" s="171"/>
    </row>
    <row r="11" spans="1:5" ht="11.25">
      <c r="A11" s="5" t="s">
        <v>349</v>
      </c>
      <c r="B11" s="68">
        <v>809304</v>
      </c>
      <c r="C11" s="68"/>
      <c r="D11" s="68"/>
      <c r="E11" s="171">
        <f>SUM(B11:D11)</f>
        <v>809304</v>
      </c>
    </row>
    <row r="12" spans="1:5" ht="11.25">
      <c r="A12" s="5" t="s">
        <v>350</v>
      </c>
      <c r="B12" s="68">
        <v>0</v>
      </c>
      <c r="C12" s="68"/>
      <c r="D12" s="68"/>
      <c r="E12" s="171"/>
    </row>
    <row r="13" spans="1:5" ht="11.25">
      <c r="A13" s="5" t="s">
        <v>351</v>
      </c>
      <c r="B13" s="182">
        <v>250</v>
      </c>
      <c r="C13" s="182"/>
      <c r="D13" s="182"/>
      <c r="E13" s="232">
        <f>SUM(B13:D13)</f>
        <v>250</v>
      </c>
    </row>
    <row r="14" spans="1:5" ht="12" thickBot="1">
      <c r="A14" s="5" t="s">
        <v>352</v>
      </c>
      <c r="B14" s="80">
        <f>SUM(B11:B13)</f>
        <v>809554</v>
      </c>
      <c r="C14" s="80">
        <f>SUM(C11:C13)</f>
        <v>0</v>
      </c>
      <c r="D14" s="80">
        <f>SUM(D11:D13)</f>
        <v>0</v>
      </c>
      <c r="E14" s="218">
        <f>SUM(E10:E13)</f>
        <v>809554</v>
      </c>
    </row>
    <row r="15" spans="1:5" ht="11.25">
      <c r="A15" s="5"/>
      <c r="B15" s="68"/>
      <c r="C15" s="68"/>
      <c r="D15" s="68"/>
      <c r="E15" s="171"/>
    </row>
    <row r="16" spans="1:5" ht="11.25">
      <c r="A16" s="22" t="s">
        <v>353</v>
      </c>
      <c r="B16" s="68"/>
      <c r="C16" s="68"/>
      <c r="D16" s="68"/>
      <c r="E16" s="171"/>
    </row>
    <row r="17" spans="1:5" ht="11.25">
      <c r="A17" s="23"/>
      <c r="B17" s="68"/>
      <c r="C17" s="68"/>
      <c r="D17" s="68"/>
      <c r="E17" s="171"/>
    </row>
    <row r="18" spans="1:7" ht="11.25">
      <c r="A18" s="181" t="s">
        <v>349</v>
      </c>
      <c r="B18" s="267">
        <f>+E18</f>
        <v>31593364.600000024</v>
      </c>
      <c r="C18" s="261"/>
      <c r="D18" s="261"/>
      <c r="E18" s="336">
        <f>+'crediti (NI4)'!H6</f>
        <v>31593364.600000024</v>
      </c>
      <c r="G18" s="77"/>
    </row>
    <row r="19" spans="1:6" ht="11.25">
      <c r="A19" s="181" t="s">
        <v>354</v>
      </c>
      <c r="B19" s="267">
        <f aca="true" t="shared" si="0" ref="B19:B26">+E19</f>
        <v>0</v>
      </c>
      <c r="C19" s="261"/>
      <c r="D19" s="261"/>
      <c r="E19" s="336"/>
      <c r="F19" s="77"/>
    </row>
    <row r="20" spans="1:6" ht="11.25">
      <c r="A20" s="41" t="s">
        <v>645</v>
      </c>
      <c r="B20" s="267">
        <f t="shared" si="0"/>
        <v>0</v>
      </c>
      <c r="C20" s="261"/>
      <c r="D20" s="261"/>
      <c r="E20" s="336"/>
      <c r="F20" s="77"/>
    </row>
    <row r="21" spans="1:6" s="264" customFormat="1" ht="11.25">
      <c r="A21" s="337" t="s">
        <v>355</v>
      </c>
      <c r="B21" s="267">
        <f t="shared" si="0"/>
        <v>283597</v>
      </c>
      <c r="C21" s="261"/>
      <c r="D21" s="261"/>
      <c r="E21" s="336">
        <v>283597</v>
      </c>
      <c r="F21" s="77"/>
    </row>
    <row r="22" spans="1:7" ht="11.25">
      <c r="A22" s="181" t="s">
        <v>356</v>
      </c>
      <c r="B22" s="267">
        <f t="shared" si="0"/>
        <v>3533983</v>
      </c>
      <c r="C22" s="261"/>
      <c r="D22" s="261"/>
      <c r="E22" s="336">
        <v>3533983</v>
      </c>
      <c r="F22" s="77"/>
      <c r="G22" s="77"/>
    </row>
    <row r="23" spans="1:6" ht="11.25">
      <c r="A23" s="181" t="s">
        <v>350</v>
      </c>
      <c r="B23" s="267">
        <f t="shared" si="0"/>
        <v>5556330</v>
      </c>
      <c r="C23" s="261"/>
      <c r="D23" s="261"/>
      <c r="E23" s="336">
        <v>5556330</v>
      </c>
      <c r="F23" s="77"/>
    </row>
    <row r="24" spans="1:6" ht="11.25">
      <c r="A24" s="181" t="s">
        <v>357</v>
      </c>
      <c r="B24" s="267">
        <f t="shared" si="0"/>
        <v>31106</v>
      </c>
      <c r="C24" s="261"/>
      <c r="D24" s="261"/>
      <c r="E24" s="336">
        <v>31106</v>
      </c>
      <c r="F24" s="77"/>
    </row>
    <row r="25" spans="1:7" ht="11.25">
      <c r="A25" s="181" t="s">
        <v>358</v>
      </c>
      <c r="B25" s="267">
        <f t="shared" si="0"/>
        <v>217153</v>
      </c>
      <c r="C25" s="261"/>
      <c r="D25" s="261"/>
      <c r="E25" s="336">
        <v>217153</v>
      </c>
      <c r="F25" s="77"/>
      <c r="G25" s="71"/>
    </row>
    <row r="26" spans="1:6" ht="11.25">
      <c r="A26" s="181" t="s">
        <v>351</v>
      </c>
      <c r="B26" s="543">
        <f t="shared" si="0"/>
        <v>4740525</v>
      </c>
      <c r="C26" s="543"/>
      <c r="D26" s="543"/>
      <c r="E26" s="401">
        <v>4740525</v>
      </c>
      <c r="F26" s="77"/>
    </row>
    <row r="27" spans="1:6" ht="11.25">
      <c r="A27" s="5" t="s">
        <v>359</v>
      </c>
      <c r="B27" s="261">
        <f>SUM(B18:B26)</f>
        <v>45956058.600000024</v>
      </c>
      <c r="C27" s="261">
        <f>SUM(C18:C26)</f>
        <v>0</v>
      </c>
      <c r="D27" s="261">
        <f>SUM(D18:D26)</f>
        <v>0</v>
      </c>
      <c r="E27" s="268">
        <f>SUM(E18:E26)</f>
        <v>45956058.600000024</v>
      </c>
      <c r="F27" s="77"/>
    </row>
    <row r="28" spans="1:7" ht="12" thickBot="1">
      <c r="A28" s="24"/>
      <c r="B28" s="544"/>
      <c r="C28" s="544"/>
      <c r="D28" s="544"/>
      <c r="E28" s="545"/>
      <c r="F28" s="77"/>
      <c r="G28" s="77"/>
    </row>
    <row r="29" ht="11.25">
      <c r="F29" s="77"/>
    </row>
    <row r="30" ht="11.25">
      <c r="F30" s="77"/>
    </row>
    <row r="31" spans="1:6" ht="11.25">
      <c r="A31" s="2" t="s">
        <v>360</v>
      </c>
      <c r="F31" s="77"/>
    </row>
    <row r="32" ht="12" thickBot="1">
      <c r="F32" s="77"/>
    </row>
    <row r="33" spans="1:6" ht="12" thickBot="1">
      <c r="A33" s="48" t="s">
        <v>361</v>
      </c>
      <c r="B33" s="76"/>
      <c r="C33" s="76"/>
      <c r="D33" s="76"/>
      <c r="E33" s="176"/>
      <c r="F33" s="77"/>
    </row>
    <row r="34" spans="1:6" ht="11.25">
      <c r="A34" s="231"/>
      <c r="B34" s="230" t="s">
        <v>344</v>
      </c>
      <c r="C34" s="179"/>
      <c r="D34" s="180"/>
      <c r="E34" s="176"/>
      <c r="F34" s="77"/>
    </row>
    <row r="35" spans="1:6" ht="11.25">
      <c r="A35" s="49" t="s">
        <v>229</v>
      </c>
      <c r="B35" s="74" t="s">
        <v>345</v>
      </c>
      <c r="C35" s="170" t="s">
        <v>346</v>
      </c>
      <c r="D35" s="74" t="s">
        <v>347</v>
      </c>
      <c r="E35" s="177" t="s">
        <v>348</v>
      </c>
      <c r="F35" s="77"/>
    </row>
    <row r="36" spans="1:6" ht="11.25">
      <c r="A36" s="41"/>
      <c r="B36" s="68"/>
      <c r="C36" s="69"/>
      <c r="D36" s="68"/>
      <c r="E36" s="171"/>
      <c r="F36" s="77"/>
    </row>
    <row r="37" spans="1:7" ht="11.25">
      <c r="A37" s="41" t="s">
        <v>325</v>
      </c>
      <c r="B37" s="68">
        <v>0</v>
      </c>
      <c r="C37" s="69"/>
      <c r="D37" s="68"/>
      <c r="E37" s="171">
        <f>SUM(B37:D37)</f>
        <v>0</v>
      </c>
      <c r="F37" s="77"/>
      <c r="G37" s="77"/>
    </row>
    <row r="38" spans="1:7" ht="11.25">
      <c r="A38" s="41" t="s">
        <v>328</v>
      </c>
      <c r="B38" s="68">
        <f>+E38</f>
        <v>1673425</v>
      </c>
      <c r="C38" s="174"/>
      <c r="D38" s="68"/>
      <c r="E38" s="171">
        <v>1673425</v>
      </c>
      <c r="F38" s="77"/>
      <c r="G38" s="77"/>
    </row>
    <row r="39" spans="1:7" ht="11.25">
      <c r="A39" s="41" t="s">
        <v>362</v>
      </c>
      <c r="B39" s="68">
        <f aca="true" t="shared" si="1" ref="B39:B52">+E39</f>
        <v>0</v>
      </c>
      <c r="C39" s="69"/>
      <c r="D39" s="68"/>
      <c r="E39" s="171">
        <v>0</v>
      </c>
      <c r="F39" s="77"/>
      <c r="G39" s="77"/>
    </row>
    <row r="40" spans="1:7" ht="11.25">
      <c r="A40" s="41" t="s">
        <v>674</v>
      </c>
      <c r="B40" s="68">
        <f t="shared" si="1"/>
        <v>0</v>
      </c>
      <c r="C40" s="69"/>
      <c r="D40" s="68"/>
      <c r="E40" s="171">
        <v>0</v>
      </c>
      <c r="F40" s="77"/>
      <c r="G40" s="77"/>
    </row>
    <row r="41" spans="1:7" ht="11.25">
      <c r="A41" s="41" t="s">
        <v>363</v>
      </c>
      <c r="B41" s="68">
        <f t="shared" si="1"/>
        <v>2409277</v>
      </c>
      <c r="C41" s="69"/>
      <c r="D41" s="68"/>
      <c r="E41" s="171">
        <v>2409277</v>
      </c>
      <c r="F41" s="77"/>
      <c r="G41" s="77"/>
    </row>
    <row r="42" spans="1:7" ht="11.25">
      <c r="A42" s="41" t="s">
        <v>331</v>
      </c>
      <c r="B42" s="68">
        <f t="shared" si="1"/>
        <v>10888219</v>
      </c>
      <c r="C42" s="69"/>
      <c r="D42" s="68"/>
      <c r="E42" s="171">
        <v>10888219</v>
      </c>
      <c r="F42" s="77"/>
      <c r="G42" s="77"/>
    </row>
    <row r="43" spans="1:7" ht="11.25">
      <c r="A43" s="41" t="s">
        <v>332</v>
      </c>
      <c r="B43" s="68">
        <f t="shared" si="1"/>
        <v>694044</v>
      </c>
      <c r="C43" s="69"/>
      <c r="D43" s="68"/>
      <c r="E43" s="171">
        <v>694044</v>
      </c>
      <c r="G43" s="77"/>
    </row>
    <row r="44" spans="1:7" ht="11.25">
      <c r="A44" s="41" t="s">
        <v>333</v>
      </c>
      <c r="B44" s="68">
        <f t="shared" si="1"/>
        <v>14746554</v>
      </c>
      <c r="C44" s="69"/>
      <c r="D44" s="68"/>
      <c r="E44" s="171">
        <v>14746554</v>
      </c>
      <c r="G44" s="77"/>
    </row>
    <row r="45" spans="1:7" ht="11.25">
      <c r="A45" s="41" t="s">
        <v>334</v>
      </c>
      <c r="B45" s="68">
        <f t="shared" si="1"/>
        <v>0</v>
      </c>
      <c r="C45" s="69"/>
      <c r="D45" s="68"/>
      <c r="E45" s="171">
        <v>0</v>
      </c>
      <c r="G45" s="77"/>
    </row>
    <row r="46" spans="1:7" ht="11.25">
      <c r="A46" s="41" t="s">
        <v>364</v>
      </c>
      <c r="B46" s="68">
        <f t="shared" si="1"/>
        <v>0</v>
      </c>
      <c r="C46" s="69"/>
      <c r="D46" s="68"/>
      <c r="E46" s="171">
        <v>0</v>
      </c>
      <c r="G46" s="77"/>
    </row>
    <row r="47" spans="1:7" ht="11.25">
      <c r="A47" s="41" t="s">
        <v>365</v>
      </c>
      <c r="B47" s="68">
        <f t="shared" si="1"/>
        <v>0</v>
      </c>
      <c r="C47" s="69"/>
      <c r="D47" s="68"/>
      <c r="E47" s="171">
        <v>0</v>
      </c>
      <c r="G47" s="77"/>
    </row>
    <row r="48" spans="1:7" ht="11.25">
      <c r="A48" s="41" t="s">
        <v>337</v>
      </c>
      <c r="B48" s="68">
        <f t="shared" si="1"/>
        <v>2892355</v>
      </c>
      <c r="C48" s="69"/>
      <c r="D48" s="68"/>
      <c r="E48" s="171">
        <v>2892355</v>
      </c>
      <c r="G48" s="77"/>
    </row>
    <row r="49" spans="1:7" s="264" customFormat="1" ht="11.25">
      <c r="A49" s="315" t="s">
        <v>338</v>
      </c>
      <c r="B49" s="68">
        <f t="shared" si="1"/>
        <v>211032</v>
      </c>
      <c r="C49" s="334"/>
      <c r="D49" s="261"/>
      <c r="E49" s="171">
        <v>211032</v>
      </c>
      <c r="F49" s="71"/>
      <c r="G49" s="335"/>
    </row>
    <row r="50" spans="1:7" ht="11.25">
      <c r="A50" s="41" t="s">
        <v>366</v>
      </c>
      <c r="B50" s="68">
        <f t="shared" si="1"/>
        <v>307211</v>
      </c>
      <c r="C50" s="69"/>
      <c r="D50" s="68"/>
      <c r="E50" s="171">
        <v>307211</v>
      </c>
      <c r="G50" s="77"/>
    </row>
    <row r="51" spans="1:7" ht="11.25">
      <c r="A51" s="41" t="s">
        <v>340</v>
      </c>
      <c r="B51" s="68">
        <f t="shared" si="1"/>
        <v>7451619</v>
      </c>
      <c r="C51" s="69"/>
      <c r="D51" s="68"/>
      <c r="E51" s="171">
        <v>7451619</v>
      </c>
      <c r="G51" s="77"/>
    </row>
    <row r="52" spans="1:7" ht="11.25">
      <c r="A52" s="41" t="s">
        <v>665</v>
      </c>
      <c r="B52" s="187">
        <f t="shared" si="1"/>
        <v>0</v>
      </c>
      <c r="C52" s="187"/>
      <c r="D52" s="182"/>
      <c r="E52" s="401"/>
      <c r="G52" s="77"/>
    </row>
    <row r="53" spans="1:5" ht="11.25">
      <c r="A53" s="41"/>
      <c r="B53" s="68"/>
      <c r="C53" s="69"/>
      <c r="D53" s="68"/>
      <c r="E53" s="167"/>
    </row>
    <row r="54" spans="1:5" ht="12" thickBot="1">
      <c r="A54" s="46" t="s">
        <v>341</v>
      </c>
      <c r="B54" s="75">
        <f>SUM(B37:B53)</f>
        <v>41273736</v>
      </c>
      <c r="C54" s="168">
        <f>SUM(C37:C53)</f>
        <v>0</v>
      </c>
      <c r="D54" s="168">
        <f>SUM(D37:D53)</f>
        <v>0</v>
      </c>
      <c r="E54" s="172">
        <f>SUM(E37:E53)</f>
        <v>41273736</v>
      </c>
    </row>
  </sheetData>
  <printOptions horizontalCentered="1" verticalCentered="1"/>
  <pageMargins left="0.27" right="0.2362204724409449" top="0.984251968503937" bottom="0.984251968503937" header="0.5118110236220472" footer="0.5118110236220472"/>
  <pageSetup firstPageNumber="60" useFirstPageNumber="1" horizontalDpi="300" verticalDpi="300" orientation="portrait" paperSize="9" r:id="rId1"/>
  <headerFooter alignWithMargins="0">
    <oddHeader>&amp;CTabella N.I.9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76"/>
  <sheetViews>
    <sheetView showGridLines="0" workbookViewId="0" topLeftCell="A45">
      <selection activeCell="A28" sqref="A28:C73"/>
    </sheetView>
  </sheetViews>
  <sheetFormatPr defaultColWidth="9.140625" defaultRowHeight="12.75"/>
  <cols>
    <col min="1" max="1" width="45.28125" style="86" customWidth="1"/>
    <col min="2" max="6" width="13.7109375" style="86" customWidth="1"/>
    <col min="7" max="9" width="9.140625" style="86" customWidth="1"/>
    <col min="10" max="10" width="9.421875" style="86" customWidth="1"/>
    <col min="11" max="11" width="9.140625" style="86" customWidth="1"/>
    <col min="12" max="12" width="11.28125" style="86" customWidth="1"/>
    <col min="13" max="16384" width="9.140625" style="86" customWidth="1"/>
  </cols>
  <sheetData>
    <row r="1" ht="12" thickBot="1">
      <c r="A1" s="85" t="s">
        <v>106</v>
      </c>
    </row>
    <row r="2" spans="1:3" ht="12" thickBot="1">
      <c r="A2" s="87" t="s">
        <v>367</v>
      </c>
      <c r="B2" s="88"/>
      <c r="C2" s="89"/>
    </row>
    <row r="3" spans="1:3" ht="11.25">
      <c r="A3" s="90"/>
      <c r="B3" s="91"/>
      <c r="C3" s="92"/>
    </row>
    <row r="4" spans="1:3" ht="11.25">
      <c r="A4" s="240" t="s">
        <v>229</v>
      </c>
      <c r="B4" s="524" t="s">
        <v>368</v>
      </c>
      <c r="C4" s="522" t="s">
        <v>23</v>
      </c>
    </row>
    <row r="5" spans="1:3" s="189" customFormat="1" ht="11.25">
      <c r="A5" s="188"/>
      <c r="B5" s="310"/>
      <c r="C5" s="310"/>
    </row>
    <row r="6" spans="1:4" ht="11.25">
      <c r="A6" s="311" t="s">
        <v>633</v>
      </c>
      <c r="B6" s="269"/>
      <c r="C6" s="269"/>
      <c r="D6" s="271"/>
    </row>
    <row r="7" spans="1:4" ht="11.25">
      <c r="A7" s="364" t="s">
        <v>632</v>
      </c>
      <c r="B7" s="312"/>
      <c r="C7" s="312"/>
      <c r="D7" s="271"/>
    </row>
    <row r="8" spans="1:4" ht="11.25">
      <c r="A8" s="364"/>
      <c r="B8" s="312"/>
      <c r="C8" s="312"/>
      <c r="D8" s="271"/>
    </row>
    <row r="9" spans="1:3" ht="12" thickBot="1">
      <c r="A9" s="94" t="s">
        <v>348</v>
      </c>
      <c r="B9" s="95">
        <f>SUM(B6:B8)</f>
        <v>0</v>
      </c>
      <c r="C9" s="96">
        <f>SUM(C1:C8)</f>
        <v>0</v>
      </c>
    </row>
    <row r="10" spans="1:3" ht="12.75">
      <c r="A10" s="97"/>
      <c r="B10" s="97"/>
      <c r="C10" s="273"/>
    </row>
    <row r="11" spans="1:4" ht="13.5" thickBot="1">
      <c r="A11" s="97"/>
      <c r="B11" s="97"/>
      <c r="C11" s="97"/>
      <c r="D11" s="273"/>
    </row>
    <row r="12" spans="1:3" ht="12" thickBot="1">
      <c r="A12" s="87" t="s">
        <v>369</v>
      </c>
      <c r="B12" s="88"/>
      <c r="C12" s="89"/>
    </row>
    <row r="13" spans="1:3" ht="11.25">
      <c r="A13" s="90"/>
      <c r="B13" s="91"/>
      <c r="C13" s="92"/>
    </row>
    <row r="14" spans="1:3" ht="11.25">
      <c r="A14" s="240" t="s">
        <v>229</v>
      </c>
      <c r="B14" s="524" t="s">
        <v>368</v>
      </c>
      <c r="C14" s="522" t="s">
        <v>23</v>
      </c>
    </row>
    <row r="15" spans="1:3" ht="11.25">
      <c r="A15" s="79" t="s">
        <v>465</v>
      </c>
      <c r="B15" s="312"/>
      <c r="C15" s="312">
        <v>10625</v>
      </c>
    </row>
    <row r="16" spans="1:3" ht="11.25">
      <c r="A16" s="79" t="s">
        <v>466</v>
      </c>
      <c r="B16" s="312">
        <f>44621+764</f>
        <v>45385</v>
      </c>
      <c r="C16" s="312">
        <v>6357</v>
      </c>
    </row>
    <row r="17" spans="1:3" ht="12.75" customHeight="1">
      <c r="A17" s="79" t="s">
        <v>686</v>
      </c>
      <c r="B17" s="312">
        <f>3146+12268</f>
        <v>15414</v>
      </c>
      <c r="C17" s="312">
        <f>1573+12452+305</f>
        <v>14330</v>
      </c>
    </row>
    <row r="18" spans="1:6" ht="12.75" customHeight="1">
      <c r="A18" s="79" t="s">
        <v>687</v>
      </c>
      <c r="B18" s="93">
        <v>10668</v>
      </c>
      <c r="C18" s="93">
        <v>10674</v>
      </c>
      <c r="D18" s="252"/>
      <c r="E18" s="252"/>
      <c r="F18" s="252"/>
    </row>
    <row r="19" spans="1:4" ht="11.25">
      <c r="A19" s="79" t="s">
        <v>467</v>
      </c>
      <c r="B19" s="98">
        <v>8992</v>
      </c>
      <c r="C19" s="98">
        <v>9403</v>
      </c>
      <c r="D19" s="270"/>
    </row>
    <row r="20" spans="1:3" ht="11.25">
      <c r="A20" s="79" t="s">
        <v>125</v>
      </c>
      <c r="B20" s="312">
        <f>186+1717</f>
        <v>1903</v>
      </c>
      <c r="C20" s="312">
        <f>339+2215+187</f>
        <v>2741</v>
      </c>
    </row>
    <row r="21" spans="1:3" ht="11.25">
      <c r="A21" s="79" t="s">
        <v>853</v>
      </c>
      <c r="B21" s="312">
        <f>30000+1500</f>
        <v>31500</v>
      </c>
      <c r="C21" s="312">
        <v>15000</v>
      </c>
    </row>
    <row r="22" spans="1:6" ht="11.25">
      <c r="A22" s="79" t="s">
        <v>610</v>
      </c>
      <c r="B22" s="312">
        <v>98016</v>
      </c>
      <c r="C22" s="312">
        <v>96752</v>
      </c>
      <c r="F22" s="252"/>
    </row>
    <row r="23" spans="1:7" ht="11.25">
      <c r="A23" s="79" t="s">
        <v>644</v>
      </c>
      <c r="B23" s="312">
        <f>51+46</f>
        <v>97</v>
      </c>
      <c r="C23" s="312"/>
      <c r="G23" s="252"/>
    </row>
    <row r="24" spans="1:3" ht="11.25">
      <c r="A24" s="79" t="s">
        <v>673</v>
      </c>
      <c r="B24" s="93">
        <v>-1</v>
      </c>
      <c r="C24" s="93"/>
    </row>
    <row r="25" spans="1:6" ht="12" thickBot="1">
      <c r="A25" s="94" t="s">
        <v>348</v>
      </c>
      <c r="B25" s="96">
        <f>SUM(B15:B24)</f>
        <v>211974</v>
      </c>
      <c r="C25" s="442">
        <f>SUM(C15:C24)</f>
        <v>165882</v>
      </c>
      <c r="F25" s="252"/>
    </row>
    <row r="26" spans="1:3" ht="12.75">
      <c r="A26" s="97"/>
      <c r="B26" s="97"/>
      <c r="C26" s="273"/>
    </row>
    <row r="27" spans="1:3" ht="12" thickBot="1">
      <c r="A27" s="97"/>
      <c r="B27" s="97"/>
      <c r="C27" s="97"/>
    </row>
    <row r="28" spans="1:4" ht="13.5" thickBot="1">
      <c r="A28" s="87" t="s">
        <v>370</v>
      </c>
      <c r="B28" s="88"/>
      <c r="C28" s="89"/>
      <c r="D28" s="273"/>
    </row>
    <row r="29" spans="1:3" ht="11.25">
      <c r="A29" s="90"/>
      <c r="B29" s="91"/>
      <c r="C29" s="92"/>
    </row>
    <row r="30" spans="1:3" ht="11.25">
      <c r="A30" s="240" t="s">
        <v>229</v>
      </c>
      <c r="B30" s="524" t="s">
        <v>368</v>
      </c>
      <c r="C30" s="522" t="s">
        <v>23</v>
      </c>
    </row>
    <row r="31" spans="1:3" ht="11.25">
      <c r="A31" s="274" t="s">
        <v>688</v>
      </c>
      <c r="B31" s="93">
        <v>2429</v>
      </c>
      <c r="C31" s="93"/>
    </row>
    <row r="32" spans="1:3" ht="11.25">
      <c r="A32" s="274" t="s">
        <v>697</v>
      </c>
      <c r="B32" s="93"/>
      <c r="C32" s="93"/>
    </row>
    <row r="33" spans="1:3" ht="11.25">
      <c r="A33" s="274" t="s">
        <v>804</v>
      </c>
      <c r="B33" s="93">
        <v>221</v>
      </c>
      <c r="C33" s="93"/>
    </row>
    <row r="34" spans="1:5" ht="11.25">
      <c r="A34" s="274" t="s">
        <v>634</v>
      </c>
      <c r="B34" s="93"/>
      <c r="C34" s="93"/>
      <c r="D34" s="99"/>
      <c r="E34" s="99"/>
    </row>
    <row r="35" spans="1:5" ht="11.25">
      <c r="A35" s="274" t="s">
        <v>635</v>
      </c>
      <c r="B35" s="93"/>
      <c r="C35" s="93"/>
      <c r="D35" s="99"/>
      <c r="E35" s="99"/>
    </row>
    <row r="36" spans="1:4" ht="11.25">
      <c r="A36" s="274" t="s">
        <v>637</v>
      </c>
      <c r="B36" s="93"/>
      <c r="C36" s="93"/>
      <c r="D36" s="99"/>
    </row>
    <row r="37" spans="1:4" ht="11.25">
      <c r="A37" s="274" t="s">
        <v>689</v>
      </c>
      <c r="B37" s="93"/>
      <c r="C37" s="93"/>
      <c r="D37" s="99"/>
    </row>
    <row r="38" spans="1:4" ht="11.25">
      <c r="A38" s="274" t="s">
        <v>636</v>
      </c>
      <c r="B38" s="93"/>
      <c r="C38" s="93"/>
      <c r="D38" s="271"/>
    </row>
    <row r="39" spans="1:4" ht="11.25">
      <c r="A39" s="274" t="s">
        <v>699</v>
      </c>
      <c r="B39" s="93"/>
      <c r="C39" s="93"/>
      <c r="D39" s="271"/>
    </row>
    <row r="40" spans="1:3" ht="11.25">
      <c r="A40" s="274" t="s">
        <v>707</v>
      </c>
      <c r="B40" s="93"/>
      <c r="C40" s="93"/>
    </row>
    <row r="41" spans="1:3" ht="11.25">
      <c r="A41" s="274" t="s">
        <v>690</v>
      </c>
      <c r="B41" s="93">
        <v>3991</v>
      </c>
      <c r="C41" s="93"/>
    </row>
    <row r="42" spans="1:3" ht="11.25">
      <c r="A42" s="274" t="s">
        <v>700</v>
      </c>
      <c r="B42" s="93"/>
      <c r="C42" s="93"/>
    </row>
    <row r="43" spans="1:3" ht="11.25">
      <c r="A43" s="274" t="s">
        <v>701</v>
      </c>
      <c r="B43" s="93"/>
      <c r="C43" s="93"/>
    </row>
    <row r="44" spans="1:3" ht="12" thickBot="1">
      <c r="A44" s="94" t="s">
        <v>348</v>
      </c>
      <c r="B44" s="95">
        <f>SUM(B31:B42)</f>
        <v>6641</v>
      </c>
      <c r="C44" s="442">
        <f>SUM(C31:C43)</f>
        <v>0</v>
      </c>
    </row>
    <row r="45" spans="1:3" ht="12.75">
      <c r="A45" s="97"/>
      <c r="B45" s="97"/>
      <c r="C45" s="273"/>
    </row>
    <row r="46" spans="1:3" ht="12" thickBot="1">
      <c r="A46" s="97"/>
      <c r="B46" s="97"/>
      <c r="C46" s="97"/>
    </row>
    <row r="47" spans="1:3" ht="11.25">
      <c r="A47" s="520" t="s">
        <v>371</v>
      </c>
      <c r="B47" s="246"/>
      <c r="C47" s="521"/>
    </row>
    <row r="48" spans="1:3" ht="11.25">
      <c r="A48" s="382"/>
      <c r="B48" s="523"/>
      <c r="C48" s="519"/>
    </row>
    <row r="49" spans="1:3" ht="11.25">
      <c r="A49" s="240" t="s">
        <v>229</v>
      </c>
      <c r="B49" s="524" t="s">
        <v>368</v>
      </c>
      <c r="C49" s="522" t="s">
        <v>23</v>
      </c>
    </row>
    <row r="50" spans="1:3" ht="11.25">
      <c r="A50" s="272"/>
      <c r="B50" s="224"/>
      <c r="C50" s="224"/>
    </row>
    <row r="51" spans="1:3" ht="11.25">
      <c r="A51" s="272" t="s">
        <v>124</v>
      </c>
      <c r="B51" s="224">
        <f>1574102-747205</f>
        <v>826897</v>
      </c>
      <c r="C51" s="224">
        <f>535593+47582</f>
        <v>583175</v>
      </c>
    </row>
    <row r="52" spans="1:3" ht="11.25">
      <c r="A52" s="225" t="s">
        <v>753</v>
      </c>
      <c r="B52" s="224">
        <v>199580</v>
      </c>
      <c r="C52" s="224">
        <v>309123</v>
      </c>
    </row>
    <row r="53" spans="1:3" ht="11.25">
      <c r="A53" s="225" t="s">
        <v>852</v>
      </c>
      <c r="B53" s="224">
        <v>27846</v>
      </c>
      <c r="C53" s="224">
        <v>27846</v>
      </c>
    </row>
    <row r="54" spans="1:3" ht="11.25">
      <c r="A54" s="623" t="s">
        <v>703</v>
      </c>
      <c r="B54" s="346">
        <v>747205</v>
      </c>
      <c r="C54" s="346">
        <v>225885</v>
      </c>
    </row>
    <row r="55" spans="1:3" ht="11.25">
      <c r="A55" s="272" t="s">
        <v>803</v>
      </c>
      <c r="B55" s="346">
        <v>893753</v>
      </c>
      <c r="C55" s="346">
        <v>665795</v>
      </c>
    </row>
    <row r="56" spans="1:3" ht="11.25">
      <c r="A56" s="408" t="s">
        <v>608</v>
      </c>
      <c r="B56" s="224"/>
      <c r="C56" s="224"/>
    </row>
    <row r="57" spans="1:3" ht="22.5">
      <c r="A57" s="419" t="s">
        <v>704</v>
      </c>
      <c r="B57" s="224">
        <v>19044.04</v>
      </c>
      <c r="C57" s="224">
        <v>6822</v>
      </c>
    </row>
    <row r="58" spans="1:3" ht="11.25">
      <c r="A58" s="397" t="s">
        <v>137</v>
      </c>
      <c r="B58" s="224"/>
      <c r="C58" s="224"/>
    </row>
    <row r="59" spans="1:3" ht="11.25">
      <c r="A59" s="397" t="s">
        <v>698</v>
      </c>
      <c r="B59" s="224"/>
      <c r="C59" s="224"/>
    </row>
    <row r="60" spans="1:3" ht="11.25">
      <c r="A60" s="398" t="s">
        <v>706</v>
      </c>
      <c r="B60" s="224">
        <v>2311</v>
      </c>
      <c r="C60" s="224">
        <v>9040</v>
      </c>
    </row>
    <row r="61" spans="1:3" ht="11.25">
      <c r="A61" s="398" t="s">
        <v>752</v>
      </c>
      <c r="B61" s="346"/>
      <c r="C61" s="346"/>
    </row>
    <row r="62" spans="1:3" ht="22.5">
      <c r="A62" s="624" t="s">
        <v>800</v>
      </c>
      <c r="B62" s="346">
        <v>20449</v>
      </c>
      <c r="C62" s="346">
        <v>13333</v>
      </c>
    </row>
    <row r="63" spans="1:3" ht="11.25">
      <c r="A63" s="272" t="s">
        <v>801</v>
      </c>
      <c r="B63" s="346">
        <v>62946</v>
      </c>
      <c r="C63" s="346">
        <v>25830</v>
      </c>
    </row>
    <row r="64" spans="1:3" ht="22.5">
      <c r="A64" s="398" t="s">
        <v>802</v>
      </c>
      <c r="B64" s="346">
        <v>53618</v>
      </c>
      <c r="C64" s="346">
        <v>49874</v>
      </c>
    </row>
    <row r="65" spans="1:3" ht="22.5">
      <c r="A65" s="398" t="s">
        <v>855</v>
      </c>
      <c r="B65" s="346">
        <v>93000</v>
      </c>
      <c r="C65" s="346"/>
    </row>
    <row r="66" spans="1:3" ht="11.25">
      <c r="A66" s="272" t="s">
        <v>850</v>
      </c>
      <c r="B66" s="346">
        <v>172992</v>
      </c>
      <c r="C66" s="346">
        <v>6440</v>
      </c>
    </row>
    <row r="67" spans="1:3" ht="11.25">
      <c r="A67" s="272"/>
      <c r="B67" s="346">
        <v>13483</v>
      </c>
      <c r="C67" s="346"/>
    </row>
    <row r="68" spans="1:3" ht="11.25">
      <c r="A68" s="272" t="s">
        <v>851</v>
      </c>
      <c r="B68" s="346">
        <v>36982</v>
      </c>
      <c r="C68" s="346">
        <v>36982</v>
      </c>
    </row>
    <row r="69" spans="1:3" ht="11.25">
      <c r="A69" s="272"/>
      <c r="B69" s="346"/>
      <c r="C69" s="346"/>
    </row>
    <row r="70" spans="1:3" ht="11.25">
      <c r="A70" s="398" t="s">
        <v>705</v>
      </c>
      <c r="B70" s="224"/>
      <c r="C70" s="224"/>
    </row>
    <row r="71" spans="1:3" ht="11.25">
      <c r="A71" s="398" t="s">
        <v>138</v>
      </c>
      <c r="B71" s="224"/>
      <c r="C71" s="224"/>
    </row>
    <row r="72" spans="1:3" ht="11.25">
      <c r="A72" s="398"/>
      <c r="B72" s="224"/>
      <c r="C72" s="224"/>
    </row>
    <row r="73" spans="1:3" ht="12" thickBot="1">
      <c r="A73" s="526" t="s">
        <v>348</v>
      </c>
      <c r="B73" s="525">
        <f>SUM(B50:B71)</f>
        <v>3170106.04</v>
      </c>
      <c r="C73" s="443">
        <f>SUM(C50:C72)</f>
        <v>1960145</v>
      </c>
    </row>
    <row r="74" ht="11.25">
      <c r="C74" s="189"/>
    </row>
    <row r="75" ht="11.25">
      <c r="C75" s="189"/>
    </row>
    <row r="76" spans="1:3" ht="11.25">
      <c r="A76" s="420"/>
      <c r="C76" s="189"/>
    </row>
  </sheetData>
  <printOptions horizontalCentered="1" verticalCentered="1"/>
  <pageMargins left="0.2362204724409449" right="0.2362204724409449" top="0.4330708661417323" bottom="0.2755905511811024" header="0.1968503937007874" footer="0.15748031496062992"/>
  <pageSetup firstPageNumber="61" useFirstPageNumber="1" horizontalDpi="600" verticalDpi="600" orientation="portrait" paperSize="9" r:id="rId1"/>
  <headerFooter alignWithMargins="0">
    <oddHeader>&amp;CTabelle N.I.10</oddHeader>
  </headerFooter>
  <rowBreaks count="1" manualBreakCount="1">
    <brk id="1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51"/>
  <sheetViews>
    <sheetView showGridLines="0" workbookViewId="0" topLeftCell="A1">
      <selection activeCell="B41" sqref="B41"/>
    </sheetView>
  </sheetViews>
  <sheetFormatPr defaultColWidth="9.140625" defaultRowHeight="12.75"/>
  <cols>
    <col min="1" max="1" width="29.00390625" style="3" customWidth="1"/>
    <col min="2" max="2" width="18.140625" style="3" customWidth="1"/>
    <col min="3" max="3" width="18.140625" style="71" customWidth="1"/>
    <col min="4" max="4" width="21.421875" style="252" customWidth="1"/>
    <col min="5" max="5" width="16.7109375" style="252" customWidth="1"/>
    <col min="6" max="6" width="13.7109375" style="252" customWidth="1"/>
    <col min="7" max="7" width="21.140625" style="3" customWidth="1"/>
    <col min="8" max="9" width="9.140625" style="3" customWidth="1"/>
    <col min="10" max="10" width="9.421875" style="3" customWidth="1"/>
    <col min="11" max="11" width="9.140625" style="3" customWidth="1"/>
    <col min="12" max="12" width="11.28125" style="3" customWidth="1"/>
    <col min="13" max="16384" width="9.140625" style="3" customWidth="1"/>
  </cols>
  <sheetData>
    <row r="1" ht="11.25">
      <c r="A1" s="2" t="s">
        <v>107</v>
      </c>
    </row>
    <row r="2" ht="11.25">
      <c r="A2" s="2"/>
    </row>
    <row r="3" ht="12" thickBot="1">
      <c r="A3" s="2" t="s">
        <v>441</v>
      </c>
    </row>
    <row r="4" spans="1:7" ht="12" thickBot="1">
      <c r="A4" s="15" t="s">
        <v>443</v>
      </c>
      <c r="B4" s="8"/>
      <c r="C4" s="175"/>
      <c r="G4" s="77"/>
    </row>
    <row r="5" spans="1:3" ht="11.25">
      <c r="A5" s="29"/>
      <c r="B5" s="39"/>
      <c r="C5" s="349"/>
    </row>
    <row r="6" spans="1:3" ht="11.25">
      <c r="A6" s="35" t="s">
        <v>229</v>
      </c>
      <c r="B6" s="51" t="s">
        <v>429</v>
      </c>
      <c r="C6" s="350" t="s">
        <v>430</v>
      </c>
    </row>
    <row r="7" spans="1:3" ht="11.25">
      <c r="A7" s="5"/>
      <c r="B7" s="9"/>
      <c r="C7" s="171"/>
    </row>
    <row r="8" spans="1:8" s="264" customFormat="1" ht="11.25">
      <c r="A8" s="260" t="s">
        <v>372</v>
      </c>
      <c r="B8" s="206"/>
      <c r="C8" s="336">
        <v>63061</v>
      </c>
      <c r="D8" s="325"/>
      <c r="E8" s="325"/>
      <c r="F8" s="252"/>
      <c r="G8" s="347"/>
      <c r="H8" s="335"/>
    </row>
    <row r="9" spans="1:8" ht="11.25">
      <c r="A9" s="5" t="s">
        <v>373</v>
      </c>
      <c r="B9" s="9"/>
      <c r="C9" s="171">
        <v>53364</v>
      </c>
      <c r="E9" s="325"/>
      <c r="G9" s="347"/>
      <c r="H9" s="77"/>
    </row>
    <row r="10" spans="1:8" ht="11.25">
      <c r="A10" s="5" t="s">
        <v>374</v>
      </c>
      <c r="B10" s="9"/>
      <c r="C10" s="171">
        <v>449579</v>
      </c>
      <c r="E10" s="325"/>
      <c r="G10" s="347"/>
      <c r="H10" s="77"/>
    </row>
    <row r="11" spans="1:9" ht="11.25">
      <c r="A11" s="5" t="s">
        <v>375</v>
      </c>
      <c r="B11" s="9"/>
      <c r="C11" s="171">
        <v>6809</v>
      </c>
      <c r="E11" s="325"/>
      <c r="G11" s="347"/>
      <c r="H11" s="77"/>
      <c r="I11" s="77"/>
    </row>
    <row r="12" spans="1:8" ht="11.25">
      <c r="A12" s="5" t="s">
        <v>376</v>
      </c>
      <c r="B12" s="9"/>
      <c r="C12" s="171">
        <v>31181</v>
      </c>
      <c r="E12" s="325"/>
      <c r="G12" s="347"/>
      <c r="H12" s="77"/>
    </row>
    <row r="13" spans="1:8" ht="11.25">
      <c r="A13" s="5" t="s">
        <v>377</v>
      </c>
      <c r="B13" s="9"/>
      <c r="C13" s="171"/>
      <c r="E13" s="325"/>
      <c r="G13" s="347"/>
      <c r="H13" s="77"/>
    </row>
    <row r="14" spans="1:8" ht="11.25">
      <c r="A14" s="5" t="s">
        <v>742</v>
      </c>
      <c r="B14" s="9"/>
      <c r="C14" s="171">
        <v>38522</v>
      </c>
      <c r="E14" s="325"/>
      <c r="G14" s="347"/>
      <c r="H14" s="77"/>
    </row>
    <row r="15" spans="1:8" ht="11.25">
      <c r="A15" s="5" t="s">
        <v>664</v>
      </c>
      <c r="B15" s="9"/>
      <c r="C15" s="171">
        <v>0</v>
      </c>
      <c r="E15" s="325"/>
      <c r="G15" s="347"/>
      <c r="H15" s="77"/>
    </row>
    <row r="16" spans="1:8" ht="11.25">
      <c r="A16" s="5" t="s">
        <v>444</v>
      </c>
      <c r="B16" s="9"/>
      <c r="C16" s="171">
        <v>4910834</v>
      </c>
      <c r="E16" s="325"/>
      <c r="G16" s="347"/>
      <c r="H16" s="77"/>
    </row>
    <row r="17" spans="1:8" ht="11.25">
      <c r="A17" s="5" t="s">
        <v>379</v>
      </c>
      <c r="B17" s="9"/>
      <c r="C17" s="171">
        <v>0</v>
      </c>
      <c r="E17" s="325"/>
      <c r="G17" s="347"/>
      <c r="H17" s="77"/>
    </row>
    <row r="18" spans="1:8" ht="11.25">
      <c r="A18" s="5" t="s">
        <v>380</v>
      </c>
      <c r="B18" s="9"/>
      <c r="C18" s="171">
        <v>1648</v>
      </c>
      <c r="E18" s="325"/>
      <c r="G18" s="347"/>
      <c r="H18" s="77"/>
    </row>
    <row r="19" spans="1:8" ht="11.25">
      <c r="A19" s="5" t="s">
        <v>696</v>
      </c>
      <c r="B19" s="9"/>
      <c r="C19" s="171">
        <v>1331</v>
      </c>
      <c r="E19" s="325"/>
      <c r="G19" s="347"/>
      <c r="H19" s="77"/>
    </row>
    <row r="20" spans="1:8" ht="11.25">
      <c r="A20" s="5" t="s">
        <v>665</v>
      </c>
      <c r="B20" s="28"/>
      <c r="C20" s="171">
        <v>1</v>
      </c>
      <c r="E20" s="325"/>
      <c r="G20" s="347"/>
      <c r="H20" s="77"/>
    </row>
    <row r="21" spans="1:8" ht="12" thickBot="1">
      <c r="A21" s="7" t="s">
        <v>348</v>
      </c>
      <c r="B21" s="20"/>
      <c r="C21" s="441">
        <f>SUM(C7:C20)</f>
        <v>5556330</v>
      </c>
      <c r="D21" s="559"/>
      <c r="E21" s="559"/>
      <c r="F21" s="559"/>
      <c r="G21" s="347"/>
      <c r="H21" s="183"/>
    </row>
    <row r="22" spans="3:7" ht="12.75">
      <c r="C22" s="584"/>
      <c r="G22" s="252"/>
    </row>
    <row r="23" spans="1:7" ht="12.75">
      <c r="A23" s="2" t="s">
        <v>442</v>
      </c>
      <c r="E23" s="273"/>
      <c r="G23" s="347"/>
    </row>
    <row r="24" ht="12" thickBot="1"/>
    <row r="25" spans="1:2" ht="12" thickBot="1">
      <c r="A25" s="15" t="s">
        <v>381</v>
      </c>
      <c r="B25" s="351"/>
    </row>
    <row r="26" spans="1:2" ht="11.25">
      <c r="A26" s="29"/>
      <c r="B26" s="352"/>
    </row>
    <row r="27" spans="1:7" ht="11.25">
      <c r="A27" s="35" t="s">
        <v>229</v>
      </c>
      <c r="B27" s="353" t="s">
        <v>348</v>
      </c>
      <c r="C27" s="252"/>
      <c r="G27" s="252"/>
    </row>
    <row r="28" spans="1:7" ht="11.25">
      <c r="A28" s="5"/>
      <c r="B28" s="167"/>
      <c r="C28" s="582"/>
      <c r="D28" s="247"/>
      <c r="E28" s="247"/>
      <c r="G28" s="252"/>
    </row>
    <row r="29" spans="1:7" ht="12.75">
      <c r="A29" s="5" t="s">
        <v>372</v>
      </c>
      <c r="B29" s="406">
        <v>231446</v>
      </c>
      <c r="C29" s="243"/>
      <c r="D29" s="243"/>
      <c r="G29"/>
    </row>
    <row r="30" spans="1:7" ht="12.75">
      <c r="A30" s="5" t="s">
        <v>373</v>
      </c>
      <c r="B30" s="406">
        <v>116530</v>
      </c>
      <c r="C30" s="243"/>
      <c r="D30" s="243"/>
      <c r="G30"/>
    </row>
    <row r="31" spans="1:7" ht="12.75">
      <c r="A31" s="5" t="s">
        <v>374</v>
      </c>
      <c r="B31" s="406">
        <v>1153297</v>
      </c>
      <c r="C31" s="243"/>
      <c r="D31" s="243"/>
      <c r="G31"/>
    </row>
    <row r="32" spans="1:7" ht="12.75">
      <c r="A32" s="5" t="s">
        <v>375</v>
      </c>
      <c r="B32" s="406">
        <v>447962</v>
      </c>
      <c r="C32" s="243"/>
      <c r="D32" s="243"/>
      <c r="G32"/>
    </row>
    <row r="33" spans="1:7" ht="12.75">
      <c r="A33" s="5" t="s">
        <v>376</v>
      </c>
      <c r="B33" s="406">
        <v>1005152</v>
      </c>
      <c r="C33" s="243"/>
      <c r="D33" s="243"/>
      <c r="G33"/>
    </row>
    <row r="34" spans="1:7" ht="12.75">
      <c r="A34" s="5" t="s">
        <v>377</v>
      </c>
      <c r="B34" s="406"/>
      <c r="C34" s="243"/>
      <c r="D34" s="243"/>
      <c r="G34"/>
    </row>
    <row r="35" spans="1:7" ht="12.75">
      <c r="A35" s="5" t="s">
        <v>742</v>
      </c>
      <c r="B35" s="406">
        <v>3250503</v>
      </c>
      <c r="C35" s="243"/>
      <c r="D35" s="243"/>
      <c r="G35"/>
    </row>
    <row r="36" spans="1:7" ht="12.75">
      <c r="A36" s="5" t="s">
        <v>664</v>
      </c>
      <c r="B36" s="406">
        <v>80951</v>
      </c>
      <c r="C36" s="243"/>
      <c r="D36" s="243"/>
      <c r="G36"/>
    </row>
    <row r="37" spans="1:7" ht="12.75">
      <c r="A37" s="5" t="s">
        <v>378</v>
      </c>
      <c r="B37" s="406">
        <v>3957914</v>
      </c>
      <c r="C37" s="243"/>
      <c r="D37" s="243"/>
      <c r="G37"/>
    </row>
    <row r="38" spans="1:7" ht="12.75">
      <c r="A38" s="41" t="s">
        <v>379</v>
      </c>
      <c r="B38" s="406">
        <v>3842</v>
      </c>
      <c r="C38" s="243"/>
      <c r="D38" s="243"/>
      <c r="G38"/>
    </row>
    <row r="39" spans="1:7" ht="12.75">
      <c r="A39" s="5" t="s">
        <v>380</v>
      </c>
      <c r="B39" s="406">
        <v>636253</v>
      </c>
      <c r="C39" s="243"/>
      <c r="D39" s="243"/>
      <c r="G39"/>
    </row>
    <row r="40" spans="1:7" ht="12.75">
      <c r="A40" s="5" t="s">
        <v>696</v>
      </c>
      <c r="B40" s="406">
        <v>4369</v>
      </c>
      <c r="C40" s="243"/>
      <c r="D40" s="243"/>
      <c r="G40"/>
    </row>
    <row r="41" spans="1:7" ht="12.75">
      <c r="A41" s="5" t="s">
        <v>665</v>
      </c>
      <c r="B41" s="407"/>
      <c r="C41" s="243"/>
      <c r="D41" s="243"/>
      <c r="F41"/>
      <c r="G41"/>
    </row>
    <row r="42" spans="1:7" ht="13.5" thickBot="1">
      <c r="A42" s="7" t="s">
        <v>348</v>
      </c>
      <c r="B42" s="441">
        <f>SUM(B28:B41)</f>
        <v>10888219</v>
      </c>
      <c r="C42" s="243"/>
      <c r="D42" s="243"/>
      <c r="E42" s="583"/>
      <c r="F42"/>
      <c r="G42"/>
    </row>
    <row r="43" spans="2:7" ht="12.75">
      <c r="B43" s="71"/>
      <c r="C43" s="583"/>
      <c r="D43" s="583"/>
      <c r="E43" s="583"/>
      <c r="F43"/>
      <c r="G43"/>
    </row>
    <row r="44" spans="2:7" ht="12.75">
      <c r="B44" s="77"/>
      <c r="C44" s="322"/>
      <c r="D44"/>
      <c r="E44"/>
      <c r="F44"/>
      <c r="G44"/>
    </row>
    <row r="45" spans="2:7" ht="12.75">
      <c r="B45" s="252"/>
      <c r="C45"/>
      <c r="D45"/>
      <c r="E45"/>
      <c r="F45"/>
      <c r="G45"/>
    </row>
    <row r="46" spans="2:7" ht="12.75">
      <c r="B46" s="77"/>
      <c r="C46"/>
      <c r="D46"/>
      <c r="E46"/>
      <c r="F46"/>
      <c r="G46"/>
    </row>
    <row r="48" ht="11.25">
      <c r="B48" s="77"/>
    </row>
    <row r="51" ht="11.25">
      <c r="B51" s="77"/>
    </row>
  </sheetData>
  <printOptions horizontalCentered="1" verticalCentered="1"/>
  <pageMargins left="0.2362204724409449" right="0.2362204724409449" top="0.35" bottom="0.3" header="0.17" footer="0.17"/>
  <pageSetup firstPageNumber="62" useFirstPageNumber="1" horizontalDpi="300" verticalDpi="300" orientation="landscape" paperSize="9" r:id="rId1"/>
  <headerFooter alignWithMargins="0">
    <oddHeader>&amp;CTabelle N.I.11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40">
      <selection activeCell="A1" sqref="A1:IV16384"/>
    </sheetView>
  </sheetViews>
  <sheetFormatPr defaultColWidth="9.140625" defaultRowHeight="12.75"/>
  <cols>
    <col min="1" max="1" width="10.00390625" style="713" bestFit="1" customWidth="1"/>
    <col min="2" max="2" width="9.140625" style="713" customWidth="1"/>
    <col min="3" max="3" width="45.8515625" style="713" customWidth="1"/>
    <col min="4" max="6" width="18.140625" style="713" customWidth="1"/>
    <col min="7" max="8" width="13.7109375" style="713" customWidth="1"/>
    <col min="9" max="11" width="9.140625" style="713" customWidth="1"/>
    <col min="12" max="12" width="9.421875" style="713" customWidth="1"/>
    <col min="13" max="13" width="9.140625" style="713" customWidth="1"/>
    <col min="14" max="14" width="11.28125" style="713" customWidth="1"/>
    <col min="15" max="16384" width="9.140625" style="713" customWidth="1"/>
  </cols>
  <sheetData>
    <row r="1" ht="12.75">
      <c r="A1" s="712" t="s">
        <v>89</v>
      </c>
    </row>
    <row r="2" ht="12.75">
      <c r="C2" s="712"/>
    </row>
    <row r="3" ht="12.75">
      <c r="A3" s="712" t="s">
        <v>90</v>
      </c>
    </row>
    <row r="4" ht="13.5" thickBot="1"/>
    <row r="5" spans="1:6" ht="13.5" thickBot="1">
      <c r="A5" s="770" t="s">
        <v>91</v>
      </c>
      <c r="B5" s="771"/>
      <c r="C5" s="771"/>
      <c r="D5" s="771"/>
      <c r="E5" s="771"/>
      <c r="F5" s="772"/>
    </row>
    <row r="6" spans="1:6" ht="12.75">
      <c r="A6" s="773" t="s">
        <v>92</v>
      </c>
      <c r="B6" s="774" t="s">
        <v>93</v>
      </c>
      <c r="C6" s="776" t="s">
        <v>94</v>
      </c>
      <c r="D6" s="778" t="s">
        <v>261</v>
      </c>
      <c r="E6" s="775" t="s">
        <v>95</v>
      </c>
      <c r="F6" s="780" t="s">
        <v>348</v>
      </c>
    </row>
    <row r="7" spans="1:6" ht="13.5" thickBot="1">
      <c r="A7" s="773"/>
      <c r="B7" s="775"/>
      <c r="C7" s="777"/>
      <c r="D7" s="777"/>
      <c r="E7" s="779"/>
      <c r="F7" s="781"/>
    </row>
    <row r="8" spans="1:6" s="735" customFormat="1" ht="12.75">
      <c r="A8" s="729" t="s">
        <v>46</v>
      </c>
      <c r="B8" s="730"/>
      <c r="C8" s="731"/>
      <c r="D8" s="732"/>
      <c r="E8" s="733"/>
      <c r="F8" s="734"/>
    </row>
    <row r="9" spans="1:6" ht="12.75">
      <c r="A9" s="736">
        <v>2002</v>
      </c>
      <c r="B9" s="737">
        <v>26071</v>
      </c>
      <c r="C9" s="738" t="s">
        <v>47</v>
      </c>
      <c r="D9" s="739">
        <v>765400</v>
      </c>
      <c r="E9" s="740"/>
      <c r="F9" s="741">
        <f aca="true" t="shared" si="0" ref="F9:F41">+D9+E9</f>
        <v>765400</v>
      </c>
    </row>
    <row r="10" spans="1:6" ht="12.75">
      <c r="A10" s="736">
        <v>2003</v>
      </c>
      <c r="B10" s="737">
        <v>2799</v>
      </c>
      <c r="C10" s="738" t="s">
        <v>48</v>
      </c>
      <c r="D10" s="739">
        <v>614718.2</v>
      </c>
      <c r="E10" s="740"/>
      <c r="F10" s="741">
        <f t="shared" si="0"/>
        <v>614718.2</v>
      </c>
    </row>
    <row r="11" spans="1:6" ht="12.75">
      <c r="A11" s="736">
        <v>2004</v>
      </c>
      <c r="B11" s="737">
        <v>20766</v>
      </c>
      <c r="C11" s="738" t="s">
        <v>49</v>
      </c>
      <c r="D11" s="739">
        <v>762800</v>
      </c>
      <c r="E11" s="740"/>
      <c r="F11" s="741">
        <f t="shared" si="0"/>
        <v>762800</v>
      </c>
    </row>
    <row r="12" spans="1:6" ht="12.75">
      <c r="A12" s="736">
        <v>2005</v>
      </c>
      <c r="B12" s="737">
        <v>13660</v>
      </c>
      <c r="C12" s="738" t="s">
        <v>50</v>
      </c>
      <c r="D12" s="739">
        <v>757153.07</v>
      </c>
      <c r="E12" s="740"/>
      <c r="F12" s="741">
        <f t="shared" si="0"/>
        <v>757153.07</v>
      </c>
    </row>
    <row r="13" spans="1:6" ht="12.75">
      <c r="A13" s="736">
        <v>2007</v>
      </c>
      <c r="B13" s="737">
        <v>29847</v>
      </c>
      <c r="C13" s="738" t="s">
        <v>50</v>
      </c>
      <c r="D13" s="739">
        <v>88100</v>
      </c>
      <c r="E13" s="740"/>
      <c r="F13" s="741">
        <f t="shared" si="0"/>
        <v>88100</v>
      </c>
    </row>
    <row r="14" spans="1:6" ht="12.75">
      <c r="A14" s="736">
        <v>2006</v>
      </c>
      <c r="B14" s="737">
        <v>31552</v>
      </c>
      <c r="C14" s="738" t="s">
        <v>51</v>
      </c>
      <c r="D14" s="739">
        <v>344300</v>
      </c>
      <c r="E14" s="740"/>
      <c r="F14" s="741">
        <f t="shared" si="0"/>
        <v>344300</v>
      </c>
    </row>
    <row r="15" spans="1:6" ht="12.75">
      <c r="A15" s="736">
        <v>2007</v>
      </c>
      <c r="B15" s="737">
        <v>24016</v>
      </c>
      <c r="C15" s="738" t="s">
        <v>52</v>
      </c>
      <c r="D15" s="739">
        <v>117377</v>
      </c>
      <c r="E15" s="740"/>
      <c r="F15" s="741">
        <f t="shared" si="0"/>
        <v>117377</v>
      </c>
    </row>
    <row r="16" spans="1:6" ht="12.75">
      <c r="A16" s="736">
        <v>2008</v>
      </c>
      <c r="B16" s="737">
        <v>31131</v>
      </c>
      <c r="C16" s="738" t="s">
        <v>52</v>
      </c>
      <c r="D16" s="739">
        <v>335600</v>
      </c>
      <c r="E16" s="740"/>
      <c r="F16" s="741">
        <f t="shared" si="0"/>
        <v>335600</v>
      </c>
    </row>
    <row r="17" spans="1:6" ht="12.75">
      <c r="A17" s="736">
        <v>2008</v>
      </c>
      <c r="B17" s="737">
        <v>200</v>
      </c>
      <c r="C17" s="738" t="s">
        <v>53</v>
      </c>
      <c r="D17" s="739">
        <v>254577.2</v>
      </c>
      <c r="E17" s="740"/>
      <c r="F17" s="741">
        <f t="shared" si="0"/>
        <v>254577.2</v>
      </c>
    </row>
    <row r="18" spans="1:6" ht="12.75">
      <c r="A18" s="736">
        <v>2009</v>
      </c>
      <c r="B18" s="737">
        <v>29068</v>
      </c>
      <c r="C18" s="738" t="s">
        <v>54</v>
      </c>
      <c r="D18" s="739">
        <v>240400</v>
      </c>
      <c r="E18" s="740"/>
      <c r="F18" s="741">
        <f t="shared" si="0"/>
        <v>240400</v>
      </c>
    </row>
    <row r="19" spans="1:6" ht="12.75">
      <c r="A19" s="736">
        <v>2009</v>
      </c>
      <c r="B19" s="737">
        <v>29069</v>
      </c>
      <c r="C19" s="738" t="s">
        <v>55</v>
      </c>
      <c r="D19" s="739">
        <v>247800</v>
      </c>
      <c r="E19" s="740"/>
      <c r="F19" s="741">
        <f t="shared" si="0"/>
        <v>247800</v>
      </c>
    </row>
    <row r="20" spans="1:6" ht="12.75">
      <c r="A20" s="736">
        <v>2010</v>
      </c>
      <c r="B20" s="737">
        <v>15410</v>
      </c>
      <c r="C20" s="738" t="s">
        <v>56</v>
      </c>
      <c r="D20" s="739">
        <v>420607.2</v>
      </c>
      <c r="E20" s="740"/>
      <c r="F20" s="741">
        <f t="shared" si="0"/>
        <v>420607.2</v>
      </c>
    </row>
    <row r="21" spans="1:6" ht="12.75">
      <c r="A21" s="736">
        <v>2011</v>
      </c>
      <c r="B21" s="737">
        <v>27843</v>
      </c>
      <c r="C21" s="738" t="s">
        <v>57</v>
      </c>
      <c r="D21" s="739">
        <v>276000</v>
      </c>
      <c r="E21" s="740"/>
      <c r="F21" s="741">
        <f t="shared" si="0"/>
        <v>276000</v>
      </c>
    </row>
    <row r="22" spans="1:6" ht="12.75">
      <c r="A22" s="736">
        <v>2012</v>
      </c>
      <c r="B22" s="737">
        <v>32882</v>
      </c>
      <c r="C22" s="738" t="s">
        <v>58</v>
      </c>
      <c r="D22" s="739">
        <v>235300</v>
      </c>
      <c r="E22" s="740"/>
      <c r="F22" s="741">
        <f t="shared" si="0"/>
        <v>235300</v>
      </c>
    </row>
    <row r="23" spans="1:6" ht="12.75">
      <c r="A23" s="736">
        <v>2012</v>
      </c>
      <c r="B23" s="737">
        <v>33009</v>
      </c>
      <c r="C23" s="738" t="s">
        <v>59</v>
      </c>
      <c r="D23" s="739">
        <v>10468294</v>
      </c>
      <c r="E23" s="740"/>
      <c r="F23" s="741">
        <f t="shared" si="0"/>
        <v>10468294</v>
      </c>
    </row>
    <row r="24" spans="1:6" ht="12.75">
      <c r="A24" s="736">
        <v>2014</v>
      </c>
      <c r="B24" s="737">
        <v>23828</v>
      </c>
      <c r="C24" s="738" t="s">
        <v>59</v>
      </c>
      <c r="D24" s="739">
        <v>1063412</v>
      </c>
      <c r="E24" s="740"/>
      <c r="F24" s="741">
        <f t="shared" si="0"/>
        <v>1063412</v>
      </c>
    </row>
    <row r="25" spans="1:6" ht="12.75">
      <c r="A25" s="736">
        <v>2014</v>
      </c>
      <c r="B25" s="737">
        <v>30023</v>
      </c>
      <c r="C25" s="738" t="s">
        <v>60</v>
      </c>
      <c r="D25" s="739">
        <v>224222.2</v>
      </c>
      <c r="E25" s="740"/>
      <c r="F25" s="741">
        <f t="shared" si="0"/>
        <v>224222.2</v>
      </c>
    </row>
    <row r="26" spans="1:6" ht="12.75">
      <c r="A26" s="736">
        <v>2014</v>
      </c>
      <c r="B26" s="737">
        <v>32714</v>
      </c>
      <c r="C26" s="738" t="s">
        <v>61</v>
      </c>
      <c r="D26" s="739">
        <v>872000</v>
      </c>
      <c r="E26" s="740"/>
      <c r="F26" s="741">
        <f t="shared" si="0"/>
        <v>872000</v>
      </c>
    </row>
    <row r="27" spans="1:6" ht="12.75">
      <c r="A27" s="742" t="s">
        <v>62</v>
      </c>
      <c r="B27" s="743"/>
      <c r="C27" s="743"/>
      <c r="D27" s="744"/>
      <c r="E27" s="745"/>
      <c r="F27" s="746">
        <f t="shared" si="0"/>
        <v>0</v>
      </c>
    </row>
    <row r="28" spans="1:6" ht="12.75">
      <c r="A28" s="736">
        <v>2011</v>
      </c>
      <c r="B28" s="737">
        <v>25833</v>
      </c>
      <c r="C28" s="738" t="s">
        <v>63</v>
      </c>
      <c r="D28" s="739">
        <v>644200.51</v>
      </c>
      <c r="E28" s="740"/>
      <c r="F28" s="741">
        <f t="shared" si="0"/>
        <v>644200.51</v>
      </c>
    </row>
    <row r="29" spans="1:6" ht="12.75">
      <c r="A29" s="736">
        <v>2011</v>
      </c>
      <c r="B29" s="737">
        <v>25904</v>
      </c>
      <c r="C29" s="738" t="s">
        <v>64</v>
      </c>
      <c r="D29" s="739">
        <v>1518455</v>
      </c>
      <c r="E29" s="740"/>
      <c r="F29" s="741">
        <f t="shared" si="0"/>
        <v>1518455</v>
      </c>
    </row>
    <row r="30" spans="1:6" ht="12.75">
      <c r="A30" s="736">
        <v>2013</v>
      </c>
      <c r="B30" s="737">
        <v>12765</v>
      </c>
      <c r="C30" s="738" t="s">
        <v>65</v>
      </c>
      <c r="D30" s="739">
        <v>7028535.37</v>
      </c>
      <c r="E30" s="740"/>
      <c r="F30" s="741">
        <f t="shared" si="0"/>
        <v>7028535.37</v>
      </c>
    </row>
    <row r="31" spans="1:6" ht="12.75">
      <c r="A31" s="736">
        <v>2014</v>
      </c>
      <c r="B31" s="747">
        <v>26771</v>
      </c>
      <c r="C31" s="738" t="s">
        <v>66</v>
      </c>
      <c r="D31" s="739">
        <v>4024501.06</v>
      </c>
      <c r="E31" s="740"/>
      <c r="F31" s="741">
        <f t="shared" si="0"/>
        <v>4024501.06</v>
      </c>
    </row>
    <row r="32" spans="1:6" ht="12.75">
      <c r="A32" s="742" t="s">
        <v>67</v>
      </c>
      <c r="B32" s="748"/>
      <c r="C32" s="748"/>
      <c r="D32" s="744"/>
      <c r="E32" s="745"/>
      <c r="F32" s="746">
        <f t="shared" si="0"/>
        <v>0</v>
      </c>
    </row>
    <row r="33" spans="1:6" ht="22.5">
      <c r="A33" s="736">
        <v>1998</v>
      </c>
      <c r="B33" s="737">
        <v>32672</v>
      </c>
      <c r="C33" s="749" t="s">
        <v>68</v>
      </c>
      <c r="D33" s="750">
        <v>33167.44</v>
      </c>
      <c r="E33" s="740"/>
      <c r="F33" s="741">
        <f t="shared" si="0"/>
        <v>33167.44</v>
      </c>
    </row>
    <row r="34" spans="1:6" ht="22.5">
      <c r="A34" s="736">
        <v>2004</v>
      </c>
      <c r="B34" s="737">
        <v>5638</v>
      </c>
      <c r="C34" s="749" t="s">
        <v>69</v>
      </c>
      <c r="D34" s="739">
        <v>5587.13</v>
      </c>
      <c r="E34" s="740"/>
      <c r="F34" s="741">
        <f t="shared" si="0"/>
        <v>5587.13</v>
      </c>
    </row>
    <row r="35" spans="1:6" ht="12.75">
      <c r="A35" s="736">
        <v>2010</v>
      </c>
      <c r="B35" s="737">
        <v>43341</v>
      </c>
      <c r="C35" s="749" t="s">
        <v>70</v>
      </c>
      <c r="D35" s="739">
        <v>173919.03</v>
      </c>
      <c r="E35" s="740"/>
      <c r="F35" s="741">
        <f t="shared" si="0"/>
        <v>173919.03</v>
      </c>
    </row>
    <row r="36" spans="1:6" ht="22.5">
      <c r="A36" s="736">
        <v>2011</v>
      </c>
      <c r="B36" s="737">
        <v>19230</v>
      </c>
      <c r="C36" s="749" t="s">
        <v>71</v>
      </c>
      <c r="D36" s="739">
        <v>1753.87</v>
      </c>
      <c r="E36" s="740"/>
      <c r="F36" s="741">
        <f t="shared" si="0"/>
        <v>1753.87</v>
      </c>
    </row>
    <row r="37" spans="1:6" ht="12.75">
      <c r="A37" s="736">
        <v>2012</v>
      </c>
      <c r="B37" s="737">
        <v>9187</v>
      </c>
      <c r="C37" s="749" t="s">
        <v>72</v>
      </c>
      <c r="D37" s="739">
        <v>27720</v>
      </c>
      <c r="E37" s="740"/>
      <c r="F37" s="741">
        <f t="shared" si="0"/>
        <v>27720</v>
      </c>
    </row>
    <row r="38" spans="1:6" ht="12.75">
      <c r="A38" s="736">
        <v>2013</v>
      </c>
      <c r="B38" s="737">
        <v>17538</v>
      </c>
      <c r="C38" s="749" t="s">
        <v>73</v>
      </c>
      <c r="D38" s="739">
        <v>12452.42</v>
      </c>
      <c r="E38" s="740"/>
      <c r="F38" s="741">
        <f t="shared" si="0"/>
        <v>12452.42</v>
      </c>
    </row>
    <row r="39" spans="1:6" ht="12.75">
      <c r="A39" s="736">
        <v>2013</v>
      </c>
      <c r="B39" s="737">
        <v>24836</v>
      </c>
      <c r="C39" s="749" t="s">
        <v>74</v>
      </c>
      <c r="D39" s="739">
        <v>6000</v>
      </c>
      <c r="E39" s="740"/>
      <c r="F39" s="741">
        <f t="shared" si="0"/>
        <v>6000</v>
      </c>
    </row>
    <row r="40" spans="1:6" ht="12.75">
      <c r="A40" s="736">
        <v>2014</v>
      </c>
      <c r="B40" s="737">
        <v>30621</v>
      </c>
      <c r="C40" s="749" t="s">
        <v>75</v>
      </c>
      <c r="D40" s="739">
        <v>4000.02</v>
      </c>
      <c r="E40" s="740"/>
      <c r="F40" s="741">
        <f t="shared" si="0"/>
        <v>4000.02</v>
      </c>
    </row>
    <row r="41" spans="1:6" ht="12.75">
      <c r="A41" s="736">
        <v>2013</v>
      </c>
      <c r="B41" s="737">
        <v>34707</v>
      </c>
      <c r="C41" s="749" t="s">
        <v>76</v>
      </c>
      <c r="D41" s="739">
        <v>25000</v>
      </c>
      <c r="E41" s="740"/>
      <c r="F41" s="741">
        <f t="shared" si="0"/>
        <v>25000</v>
      </c>
    </row>
    <row r="42" spans="1:6" ht="12.75">
      <c r="A42" s="751"/>
      <c r="B42" s="752"/>
      <c r="C42" s="753" t="s">
        <v>77</v>
      </c>
      <c r="D42" s="739">
        <v>12.67</v>
      </c>
      <c r="E42" s="740"/>
      <c r="F42" s="741">
        <v>12.67</v>
      </c>
    </row>
    <row r="43" spans="1:7" ht="13.5" thickBot="1">
      <c r="A43" s="767" t="s">
        <v>348</v>
      </c>
      <c r="B43" s="768"/>
      <c r="C43" s="769"/>
      <c r="D43" s="754">
        <f>SUM(D9:D42)</f>
        <v>31593365.390000008</v>
      </c>
      <c r="E43" s="755"/>
      <c r="F43" s="754">
        <f>SUM(F9:F42)</f>
        <v>31593365.390000008</v>
      </c>
      <c r="G43" s="756"/>
    </row>
    <row r="44" spans="4:6" ht="12.75">
      <c r="D44" s="756"/>
      <c r="E44" s="756"/>
      <c r="F44" s="355"/>
    </row>
    <row r="45" spans="4:7" ht="12.75">
      <c r="D45" s="757"/>
      <c r="E45" s="756"/>
      <c r="F45" s="756"/>
      <c r="G45" s="758"/>
    </row>
    <row r="46" spans="1:6" ht="12.75">
      <c r="A46" s="712" t="s">
        <v>96</v>
      </c>
      <c r="E46" s="756"/>
      <c r="F46" s="756"/>
    </row>
    <row r="47" spans="5:6" ht="13.5" thickBot="1">
      <c r="E47" s="759"/>
      <c r="F47" s="760"/>
    </row>
    <row r="48" spans="1:6" ht="13.5" thickBot="1">
      <c r="A48" s="770" t="s">
        <v>97</v>
      </c>
      <c r="B48" s="771"/>
      <c r="C48" s="771"/>
      <c r="D48" s="771"/>
      <c r="E48" s="771"/>
      <c r="F48" s="772"/>
    </row>
    <row r="49" spans="1:6" ht="12.75">
      <c r="A49" s="773" t="s">
        <v>92</v>
      </c>
      <c r="B49" s="774" t="s">
        <v>93</v>
      </c>
      <c r="C49" s="778" t="s">
        <v>94</v>
      </c>
      <c r="D49" s="775" t="s">
        <v>324</v>
      </c>
      <c r="E49" s="775" t="s">
        <v>98</v>
      </c>
      <c r="F49" s="780" t="s">
        <v>348</v>
      </c>
    </row>
    <row r="50" spans="1:6" ht="12.75">
      <c r="A50" s="785"/>
      <c r="B50" s="779"/>
      <c r="C50" s="777"/>
      <c r="D50" s="779"/>
      <c r="E50" s="779"/>
      <c r="F50" s="781"/>
    </row>
    <row r="51" spans="1:6" ht="12.75">
      <c r="A51" s="761" t="s">
        <v>62</v>
      </c>
      <c r="B51" s="591"/>
      <c r="C51" s="715"/>
      <c r="D51" s="716"/>
      <c r="E51" s="716"/>
      <c r="F51" s="717"/>
    </row>
    <row r="52" spans="1:6" ht="12.75">
      <c r="A52" s="762">
        <v>2014</v>
      </c>
      <c r="B52" s="737">
        <v>22890</v>
      </c>
      <c r="C52" s="749" t="s">
        <v>78</v>
      </c>
      <c r="D52" s="739">
        <v>284248</v>
      </c>
      <c r="E52" s="740"/>
      <c r="F52" s="741">
        <f aca="true" t="shared" si="1" ref="F52:F59">+D52+E52</f>
        <v>284248</v>
      </c>
    </row>
    <row r="53" spans="1:6" ht="12.75">
      <c r="A53" s="761" t="s">
        <v>79</v>
      </c>
      <c r="B53" s="591"/>
      <c r="C53" s="715"/>
      <c r="D53" s="716"/>
      <c r="E53" s="716"/>
      <c r="F53" s="763">
        <f t="shared" si="1"/>
        <v>0</v>
      </c>
    </row>
    <row r="54" spans="1:6" ht="22.5">
      <c r="A54" s="762">
        <v>2012</v>
      </c>
      <c r="B54" s="737">
        <v>32913</v>
      </c>
      <c r="C54" s="749" t="s">
        <v>80</v>
      </c>
      <c r="D54" s="739">
        <v>704420.21</v>
      </c>
      <c r="E54" s="740"/>
      <c r="F54" s="741">
        <f t="shared" si="1"/>
        <v>704420.21</v>
      </c>
    </row>
    <row r="55" spans="1:6" ht="22.5">
      <c r="A55" s="764" t="s">
        <v>81</v>
      </c>
      <c r="B55" s="737" t="s">
        <v>82</v>
      </c>
      <c r="C55" s="749" t="s">
        <v>83</v>
      </c>
      <c r="D55" s="739">
        <v>7892.67</v>
      </c>
      <c r="E55" s="740"/>
      <c r="F55" s="741">
        <f t="shared" si="1"/>
        <v>7892.67</v>
      </c>
    </row>
    <row r="56" spans="1:6" ht="12.75">
      <c r="A56" s="762">
        <v>2013</v>
      </c>
      <c r="B56" s="737">
        <v>34481</v>
      </c>
      <c r="C56" s="749" t="s">
        <v>84</v>
      </c>
      <c r="D56" s="739">
        <v>582209.66</v>
      </c>
      <c r="E56" s="740"/>
      <c r="F56" s="741">
        <f t="shared" si="1"/>
        <v>582209.66</v>
      </c>
    </row>
    <row r="57" spans="1:6" ht="12.75">
      <c r="A57" s="762">
        <v>2014</v>
      </c>
      <c r="B57" s="737">
        <v>32415</v>
      </c>
      <c r="C57" s="749" t="s">
        <v>85</v>
      </c>
      <c r="D57" s="739">
        <v>3226.38</v>
      </c>
      <c r="E57" s="740"/>
      <c r="F57" s="741">
        <f t="shared" si="1"/>
        <v>3226.38</v>
      </c>
    </row>
    <row r="58" spans="1:6" ht="12.75">
      <c r="A58" s="762">
        <v>2014</v>
      </c>
      <c r="B58" s="737">
        <v>32968</v>
      </c>
      <c r="C58" s="749" t="s">
        <v>86</v>
      </c>
      <c r="D58" s="739">
        <v>91428.45</v>
      </c>
      <c r="E58" s="740"/>
      <c r="F58" s="741">
        <f t="shared" si="1"/>
        <v>91428.45</v>
      </c>
    </row>
    <row r="59" spans="1:6" ht="12.75">
      <c r="A59" s="701"/>
      <c r="B59" s="714"/>
      <c r="C59" s="715"/>
      <c r="D59" s="716"/>
      <c r="E59" s="716"/>
      <c r="F59" s="763">
        <f t="shared" si="1"/>
        <v>0</v>
      </c>
    </row>
    <row r="60" spans="1:6" ht="13.5" thickBot="1">
      <c r="A60" s="782" t="s">
        <v>348</v>
      </c>
      <c r="B60" s="783"/>
      <c r="C60" s="784"/>
      <c r="D60" s="765">
        <f>SUM(D52:D59)</f>
        <v>1673425.3699999999</v>
      </c>
      <c r="E60" s="718"/>
      <c r="F60" s="766">
        <f>SUM(F52:F59)</f>
        <v>1673425.3699999999</v>
      </c>
    </row>
    <row r="61" ht="12.75">
      <c r="F61" s="174"/>
    </row>
    <row r="62" ht="12.75">
      <c r="F62" s="760"/>
    </row>
  </sheetData>
  <mergeCells count="16">
    <mergeCell ref="A60:C60"/>
    <mergeCell ref="A48:F48"/>
    <mergeCell ref="A49:A50"/>
    <mergeCell ref="B49:B50"/>
    <mergeCell ref="C49:C50"/>
    <mergeCell ref="D49:D50"/>
    <mergeCell ref="E49:E50"/>
    <mergeCell ref="F49:F50"/>
    <mergeCell ref="A43:C43"/>
    <mergeCell ref="A5:F5"/>
    <mergeCell ref="A6:A7"/>
    <mergeCell ref="B6:B7"/>
    <mergeCell ref="C6:C7"/>
    <mergeCell ref="D6:D7"/>
    <mergeCell ref="E6:E7"/>
    <mergeCell ref="F6:F7"/>
  </mergeCells>
  <printOptions/>
  <pageMargins left="0.75" right="0.75" top="0.22" bottom="0.2" header="0.17" footer="0.17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5"/>
  <sheetViews>
    <sheetView showGridLines="0" workbookViewId="0" topLeftCell="A1">
      <pane xSplit="2" ySplit="4" topLeftCell="I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36" sqref="N36"/>
    </sheetView>
  </sheetViews>
  <sheetFormatPr defaultColWidth="9.140625" defaultRowHeight="12.75"/>
  <cols>
    <col min="1" max="1" width="32.421875" style="14" customWidth="1"/>
    <col min="2" max="2" width="9.7109375" style="429" customWidth="1"/>
    <col min="3" max="15" width="12.7109375" style="186" customWidth="1"/>
    <col min="16" max="16" width="10.00390625" style="633" bestFit="1" customWidth="1"/>
    <col min="17" max="16384" width="9.140625" style="207" customWidth="1"/>
  </cols>
  <sheetData>
    <row r="1" spans="1:2" ht="12.75">
      <c r="A1" s="365" t="s">
        <v>382</v>
      </c>
      <c r="B1" s="424"/>
    </row>
    <row r="2" ht="13.5" thickBot="1">
      <c r="B2" s="425"/>
    </row>
    <row r="3" spans="1:15" ht="13.5" customHeight="1" thickBot="1">
      <c r="A3" s="433" t="s">
        <v>383</v>
      </c>
      <c r="B3" s="426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9"/>
    </row>
    <row r="4" spans="1:15" ht="12.75">
      <c r="A4" s="434" t="s">
        <v>384</v>
      </c>
      <c r="B4" s="427" t="s">
        <v>713</v>
      </c>
      <c r="C4" s="210" t="s">
        <v>385</v>
      </c>
      <c r="D4" s="210" t="s">
        <v>386</v>
      </c>
      <c r="E4" s="210" t="s">
        <v>387</v>
      </c>
      <c r="F4" s="210" t="s">
        <v>388</v>
      </c>
      <c r="G4" s="211" t="s">
        <v>389</v>
      </c>
      <c r="H4" s="210" t="s">
        <v>390</v>
      </c>
      <c r="I4" s="210" t="s">
        <v>391</v>
      </c>
      <c r="J4" s="210" t="s">
        <v>392</v>
      </c>
      <c r="K4" s="210" t="s">
        <v>663</v>
      </c>
      <c r="L4" s="210" t="s">
        <v>754</v>
      </c>
      <c r="M4" s="210" t="s">
        <v>380</v>
      </c>
      <c r="N4" s="210" t="s">
        <v>393</v>
      </c>
      <c r="O4" s="212" t="s">
        <v>348</v>
      </c>
    </row>
    <row r="5" spans="1:15" ht="12.75">
      <c r="A5" s="181"/>
      <c r="B5" s="428"/>
      <c r="C5" s="213"/>
      <c r="D5" s="213"/>
      <c r="E5" s="213"/>
      <c r="F5" s="213"/>
      <c r="G5" s="191"/>
      <c r="H5" s="213"/>
      <c r="I5" s="213"/>
      <c r="J5" s="213"/>
      <c r="K5" s="213"/>
      <c r="L5" s="213"/>
      <c r="M5" s="213"/>
      <c r="N5" s="213"/>
      <c r="O5" s="190"/>
    </row>
    <row r="6" spans="1:15" ht="12.75">
      <c r="A6" s="181" t="s">
        <v>394</v>
      </c>
      <c r="B6" s="440"/>
      <c r="C6" s="213"/>
      <c r="D6" s="213"/>
      <c r="E6" s="213"/>
      <c r="F6" s="213"/>
      <c r="G6" s="191"/>
      <c r="H6" s="213"/>
      <c r="I6" s="213"/>
      <c r="J6" s="213"/>
      <c r="K6" s="213"/>
      <c r="L6" s="213"/>
      <c r="M6" s="213"/>
      <c r="N6" s="213"/>
      <c r="O6" s="362"/>
    </row>
    <row r="7" spans="1:15" ht="12.75">
      <c r="A7" s="435" t="s">
        <v>9</v>
      </c>
      <c r="B7" s="428" t="s">
        <v>10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362">
        <f>SUM(C7:N7)</f>
        <v>0</v>
      </c>
    </row>
    <row r="8" spans="1:15" ht="12.75">
      <c r="A8" s="435" t="s">
        <v>395</v>
      </c>
      <c r="B8" s="428" t="s">
        <v>202</v>
      </c>
      <c r="C8" s="213"/>
      <c r="D8" s="213"/>
      <c r="E8" s="213"/>
      <c r="F8" s="213"/>
      <c r="G8" s="191"/>
      <c r="H8" s="213"/>
      <c r="I8" s="213"/>
      <c r="J8" s="213"/>
      <c r="K8" s="213"/>
      <c r="L8" s="213"/>
      <c r="M8" s="213"/>
      <c r="N8" s="213"/>
      <c r="O8" s="362">
        <f aca="true" t="shared" si="0" ref="O8:O41">SUM(C8:N8)</f>
        <v>0</v>
      </c>
    </row>
    <row r="9" spans="1:15" ht="12.75">
      <c r="A9" s="435" t="s">
        <v>36</v>
      </c>
      <c r="B9" s="428"/>
      <c r="C9" s="213"/>
      <c r="D9" s="213"/>
      <c r="E9" s="213"/>
      <c r="F9" s="213"/>
      <c r="G9" s="191"/>
      <c r="H9" s="213"/>
      <c r="I9" s="213"/>
      <c r="J9" s="213"/>
      <c r="K9" s="213"/>
      <c r="L9" s="213"/>
      <c r="M9" s="213"/>
      <c r="N9" s="213"/>
      <c r="O9" s="362">
        <f t="shared" si="0"/>
        <v>0</v>
      </c>
    </row>
    <row r="10" spans="1:15" ht="12.75">
      <c r="A10" s="435" t="s">
        <v>37</v>
      </c>
      <c r="B10" s="428"/>
      <c r="C10" s="213"/>
      <c r="D10" s="213"/>
      <c r="E10" s="213">
        <v>2448</v>
      </c>
      <c r="F10" s="213">
        <v>816</v>
      </c>
      <c r="G10" s="191"/>
      <c r="H10" s="213"/>
      <c r="I10" s="213"/>
      <c r="J10" s="213"/>
      <c r="K10" s="213"/>
      <c r="L10" s="213"/>
      <c r="M10" s="213"/>
      <c r="N10" s="213"/>
      <c r="O10" s="362">
        <f t="shared" si="0"/>
        <v>3264</v>
      </c>
    </row>
    <row r="11" spans="1:15" ht="12.75">
      <c r="A11" s="435" t="s">
        <v>198</v>
      </c>
      <c r="B11" s="428" t="s">
        <v>203</v>
      </c>
      <c r="C11" s="213"/>
      <c r="D11" s="213"/>
      <c r="E11" s="213"/>
      <c r="F11" s="213"/>
      <c r="G11" s="191"/>
      <c r="H11" s="213"/>
      <c r="I11" s="213"/>
      <c r="J11" s="213"/>
      <c r="K11" s="213"/>
      <c r="L11" s="213"/>
      <c r="M11" s="213"/>
      <c r="N11" s="213"/>
      <c r="O11" s="362">
        <f t="shared" si="0"/>
        <v>0</v>
      </c>
    </row>
    <row r="12" spans="1:15" ht="12.75">
      <c r="A12" s="435" t="s">
        <v>36</v>
      </c>
      <c r="B12" s="428"/>
      <c r="C12" s="213"/>
      <c r="D12" s="213"/>
      <c r="E12" s="213"/>
      <c r="F12" s="213"/>
      <c r="G12" s="191"/>
      <c r="H12" s="213"/>
      <c r="I12" s="213"/>
      <c r="J12" s="213"/>
      <c r="K12" s="213"/>
      <c r="L12" s="213"/>
      <c r="M12" s="213"/>
      <c r="N12" s="213"/>
      <c r="O12" s="362">
        <f t="shared" si="0"/>
        <v>0</v>
      </c>
    </row>
    <row r="13" spans="1:15" ht="12.75">
      <c r="A13" s="435" t="s">
        <v>37</v>
      </c>
      <c r="B13" s="428"/>
      <c r="C13" s="213">
        <v>229</v>
      </c>
      <c r="D13" s="213">
        <v>228</v>
      </c>
      <c r="E13" s="213">
        <v>1025</v>
      </c>
      <c r="F13" s="213">
        <v>13297</v>
      </c>
      <c r="G13" s="191">
        <v>5731</v>
      </c>
      <c r="H13" s="213"/>
      <c r="I13" s="213"/>
      <c r="J13" s="213"/>
      <c r="K13" s="213"/>
      <c r="L13" s="213"/>
      <c r="M13" s="213"/>
      <c r="N13" s="213"/>
      <c r="O13" s="362">
        <f t="shared" si="0"/>
        <v>20510</v>
      </c>
    </row>
    <row r="14" spans="1:17" ht="22.5">
      <c r="A14" s="435" t="s">
        <v>615</v>
      </c>
      <c r="B14" s="430" t="s">
        <v>204</v>
      </c>
      <c r="C14" s="213"/>
      <c r="D14" s="213"/>
      <c r="E14" s="213"/>
      <c r="F14" s="213">
        <v>448</v>
      </c>
      <c r="G14" s="191"/>
      <c r="H14" s="213"/>
      <c r="I14" s="213"/>
      <c r="J14" s="213">
        <v>1180</v>
      </c>
      <c r="K14" s="213"/>
      <c r="L14" s="213"/>
      <c r="M14" s="213"/>
      <c r="N14" s="213"/>
      <c r="O14" s="362">
        <f t="shared" si="0"/>
        <v>1628</v>
      </c>
      <c r="Q14" s="633"/>
    </row>
    <row r="15" spans="1:15" ht="22.5">
      <c r="A15" s="435" t="s">
        <v>193</v>
      </c>
      <c r="B15" s="428" t="s">
        <v>205</v>
      </c>
      <c r="C15" s="213"/>
      <c r="D15" s="213"/>
      <c r="E15" s="213"/>
      <c r="F15" s="213"/>
      <c r="G15" s="191"/>
      <c r="H15" s="213"/>
      <c r="I15" s="213"/>
      <c r="J15" s="213"/>
      <c r="K15" s="213"/>
      <c r="L15" s="213"/>
      <c r="M15" s="213"/>
      <c r="N15" s="213"/>
      <c r="O15" s="362">
        <f t="shared" si="0"/>
        <v>0</v>
      </c>
    </row>
    <row r="16" spans="1:15" ht="12.75">
      <c r="A16" s="435" t="s">
        <v>816</v>
      </c>
      <c r="B16" s="428" t="s">
        <v>813</v>
      </c>
      <c r="C16" s="213"/>
      <c r="D16" s="213"/>
      <c r="E16" s="213"/>
      <c r="F16" s="213"/>
      <c r="G16" s="191"/>
      <c r="H16" s="213"/>
      <c r="I16" s="213"/>
      <c r="J16" s="213"/>
      <c r="K16" s="213"/>
      <c r="L16" s="213"/>
      <c r="M16" s="213"/>
      <c r="N16" s="213"/>
      <c r="O16" s="362">
        <f t="shared" si="0"/>
        <v>0</v>
      </c>
    </row>
    <row r="17" spans="1:17" ht="12.75">
      <c r="A17" s="435" t="s">
        <v>207</v>
      </c>
      <c r="B17" s="430" t="s">
        <v>206</v>
      </c>
      <c r="C17" s="360"/>
      <c r="D17" s="360"/>
      <c r="E17" s="360"/>
      <c r="F17" s="360"/>
      <c r="G17" s="361"/>
      <c r="H17" s="360"/>
      <c r="I17" s="360"/>
      <c r="J17" s="213"/>
      <c r="K17" s="213"/>
      <c r="L17" s="213"/>
      <c r="M17" s="213"/>
      <c r="N17" s="213"/>
      <c r="O17" s="362">
        <f t="shared" si="0"/>
        <v>0</v>
      </c>
      <c r="Q17" s="633"/>
    </row>
    <row r="18" spans="1:17" ht="12.75">
      <c r="A18" s="436" t="s">
        <v>648</v>
      </c>
      <c r="B18" s="430"/>
      <c r="C18" s="360"/>
      <c r="D18" s="360"/>
      <c r="E18" s="360"/>
      <c r="F18" s="360"/>
      <c r="G18" s="361"/>
      <c r="H18" s="360"/>
      <c r="I18" s="360"/>
      <c r="J18" s="213"/>
      <c r="K18" s="213"/>
      <c r="L18" s="213"/>
      <c r="M18" s="213"/>
      <c r="N18" s="213"/>
      <c r="O18" s="362">
        <f t="shared" si="0"/>
        <v>0</v>
      </c>
      <c r="Q18" s="633"/>
    </row>
    <row r="19" spans="1:16" ht="12.75">
      <c r="A19" s="436" t="s">
        <v>145</v>
      </c>
      <c r="B19" s="428"/>
      <c r="C19" s="360"/>
      <c r="D19" s="360"/>
      <c r="E19" s="360"/>
      <c r="F19" s="360"/>
      <c r="G19" s="361"/>
      <c r="H19" s="360"/>
      <c r="I19" s="360"/>
      <c r="J19" s="213"/>
      <c r="K19" s="421"/>
      <c r="L19" s="213"/>
      <c r="M19" s="213">
        <v>362</v>
      </c>
      <c r="N19" s="213"/>
      <c r="O19" s="362">
        <f t="shared" si="0"/>
        <v>362</v>
      </c>
      <c r="P19" s="700"/>
    </row>
    <row r="20" spans="1:15" ht="12.75">
      <c r="A20" s="436" t="s">
        <v>624</v>
      </c>
      <c r="B20" s="428"/>
      <c r="C20" s="360"/>
      <c r="D20" s="360"/>
      <c r="E20" s="360"/>
      <c r="F20" s="360"/>
      <c r="G20" s="361"/>
      <c r="H20" s="360"/>
      <c r="I20" s="360"/>
      <c r="J20" s="360">
        <v>1514844</v>
      </c>
      <c r="K20" s="421"/>
      <c r="L20" s="213"/>
      <c r="M20" s="213"/>
      <c r="N20" s="213"/>
      <c r="O20" s="362">
        <f t="shared" si="0"/>
        <v>1514844</v>
      </c>
    </row>
    <row r="21" spans="1:15" ht="12.75">
      <c r="A21" s="699" t="s">
        <v>128</v>
      </c>
      <c r="B21" s="428"/>
      <c r="C21" s="448"/>
      <c r="D21" s="360"/>
      <c r="E21" s="448"/>
      <c r="F21" s="360"/>
      <c r="G21" s="361"/>
      <c r="H21" s="448"/>
      <c r="I21" s="360"/>
      <c r="J21" s="360">
        <v>1214701</v>
      </c>
      <c r="K21" s="421"/>
      <c r="L21" s="213"/>
      <c r="M21" s="213"/>
      <c r="N21" s="213"/>
      <c r="O21" s="362">
        <f t="shared" si="0"/>
        <v>1214701</v>
      </c>
    </row>
    <row r="22" spans="1:17" ht="12.75">
      <c r="A22" s="436" t="s">
        <v>858</v>
      </c>
      <c r="B22" s="428" t="s">
        <v>818</v>
      </c>
      <c r="C22" s="448"/>
      <c r="D22" s="360"/>
      <c r="E22" s="448"/>
      <c r="F22" s="360"/>
      <c r="G22" s="361">
        <v>624</v>
      </c>
      <c r="I22" s="360"/>
      <c r="J22" s="360">
        <v>33351</v>
      </c>
      <c r="K22" s="421"/>
      <c r="L22" s="213"/>
      <c r="M22" s="213"/>
      <c r="N22" s="213"/>
      <c r="O22" s="362">
        <f t="shared" si="0"/>
        <v>33975</v>
      </c>
      <c r="Q22" s="633"/>
    </row>
    <row r="23" spans="1:17" ht="12.75">
      <c r="A23" s="435" t="s">
        <v>11</v>
      </c>
      <c r="B23" s="428" t="s">
        <v>797</v>
      </c>
      <c r="C23" s="448"/>
      <c r="D23" s="360"/>
      <c r="E23" s="448"/>
      <c r="F23" s="360"/>
      <c r="G23" s="361"/>
      <c r="I23" s="360"/>
      <c r="J23" s="360"/>
      <c r="K23" s="421"/>
      <c r="L23" s="213"/>
      <c r="M23" s="213"/>
      <c r="N23" s="213"/>
      <c r="O23" s="362">
        <f t="shared" si="0"/>
        <v>0</v>
      </c>
      <c r="Q23" s="633"/>
    </row>
    <row r="24" spans="1:15" ht="12.75">
      <c r="A24" s="435"/>
      <c r="B24" s="428"/>
      <c r="C24" s="421"/>
      <c r="D24" s="360"/>
      <c r="E24" s="421"/>
      <c r="F24" s="360"/>
      <c r="G24" s="361"/>
      <c r="H24" s="360"/>
      <c r="I24" s="360"/>
      <c r="J24" s="213"/>
      <c r="K24" s="421"/>
      <c r="L24" s="213"/>
      <c r="M24" s="213"/>
      <c r="N24" s="213"/>
      <c r="O24" s="362">
        <f t="shared" si="0"/>
        <v>0</v>
      </c>
    </row>
    <row r="25" spans="1:15" ht="12.75">
      <c r="A25" s="435" t="s">
        <v>398</v>
      </c>
      <c r="B25" s="428"/>
      <c r="C25" s="360"/>
      <c r="D25" s="360"/>
      <c r="E25" s="360"/>
      <c r="F25" s="360"/>
      <c r="G25" s="361"/>
      <c r="H25" s="360"/>
      <c r="I25" s="360"/>
      <c r="J25" s="213"/>
      <c r="K25" s="421"/>
      <c r="L25" s="360"/>
      <c r="M25" s="213"/>
      <c r="N25" s="213"/>
      <c r="O25" s="362">
        <f t="shared" si="0"/>
        <v>0</v>
      </c>
    </row>
    <row r="26" spans="1:16" s="363" customFormat="1" ht="12.75">
      <c r="A26" s="447" t="s">
        <v>174</v>
      </c>
      <c r="B26" s="431" t="s">
        <v>175</v>
      </c>
      <c r="C26" s="360"/>
      <c r="D26" s="360"/>
      <c r="E26" s="360"/>
      <c r="F26" s="360"/>
      <c r="G26" s="361"/>
      <c r="H26" s="360"/>
      <c r="I26" s="360"/>
      <c r="J26" s="360"/>
      <c r="K26" s="448"/>
      <c r="L26" s="360"/>
      <c r="M26" s="360"/>
      <c r="N26" s="360"/>
      <c r="O26" s="362">
        <f t="shared" si="0"/>
        <v>0</v>
      </c>
      <c r="P26" s="634"/>
    </row>
    <row r="27" spans="1:16" s="363" customFormat="1" ht="12.75">
      <c r="A27" s="447" t="s">
        <v>209</v>
      </c>
      <c r="B27" s="431" t="s">
        <v>208</v>
      </c>
      <c r="C27" s="360">
        <v>7901</v>
      </c>
      <c r="D27" s="360"/>
      <c r="E27" s="360"/>
      <c r="F27" s="360">
        <v>13469</v>
      </c>
      <c r="G27" s="361"/>
      <c r="H27" s="360"/>
      <c r="I27" s="360"/>
      <c r="J27" s="360"/>
      <c r="K27" s="448"/>
      <c r="L27" s="360"/>
      <c r="M27" s="360"/>
      <c r="N27" s="360"/>
      <c r="O27" s="362">
        <f t="shared" si="0"/>
        <v>21370</v>
      </c>
      <c r="P27" s="634"/>
    </row>
    <row r="28" spans="1:16" s="363" customFormat="1" ht="12.75">
      <c r="A28" s="447" t="s">
        <v>12</v>
      </c>
      <c r="B28" s="431" t="s">
        <v>13</v>
      </c>
      <c r="C28" s="360"/>
      <c r="D28" s="360"/>
      <c r="E28" s="360"/>
      <c r="F28" s="360"/>
      <c r="G28" s="361"/>
      <c r="H28" s="360"/>
      <c r="I28" s="360"/>
      <c r="J28" s="360"/>
      <c r="K28" s="448"/>
      <c r="L28" s="360"/>
      <c r="M28" s="360"/>
      <c r="N28" s="360"/>
      <c r="O28" s="362">
        <f t="shared" si="0"/>
        <v>0</v>
      </c>
      <c r="P28" s="634"/>
    </row>
    <row r="29" spans="1:16" s="363" customFormat="1" ht="12.75">
      <c r="A29" s="449" t="s">
        <v>163</v>
      </c>
      <c r="B29" s="432" t="s">
        <v>164</v>
      </c>
      <c r="C29" s="360"/>
      <c r="D29" s="360"/>
      <c r="E29" s="360"/>
      <c r="F29" s="360"/>
      <c r="G29" s="361"/>
      <c r="H29" s="360"/>
      <c r="I29" s="360"/>
      <c r="J29" s="360">
        <v>1115</v>
      </c>
      <c r="K29" s="448"/>
      <c r="L29" s="450"/>
      <c r="M29" s="360">
        <v>118</v>
      </c>
      <c r="N29" s="360"/>
      <c r="O29" s="362">
        <f t="shared" si="0"/>
        <v>1233</v>
      </c>
      <c r="P29" s="634"/>
    </row>
    <row r="30" spans="1:16" s="363" customFormat="1" ht="12.75">
      <c r="A30" s="447" t="s">
        <v>211</v>
      </c>
      <c r="B30" s="431" t="s">
        <v>210</v>
      </c>
      <c r="C30" s="360"/>
      <c r="D30" s="360">
        <v>120529</v>
      </c>
      <c r="E30" s="360"/>
      <c r="F30" s="360"/>
      <c r="G30" s="361"/>
      <c r="H30" s="360"/>
      <c r="I30" s="360"/>
      <c r="J30" s="450"/>
      <c r="K30" s="448"/>
      <c r="L30" s="360"/>
      <c r="M30" s="360"/>
      <c r="N30" s="360"/>
      <c r="O30" s="362">
        <f t="shared" si="0"/>
        <v>120529</v>
      </c>
      <c r="P30" s="634"/>
    </row>
    <row r="31" spans="1:16" s="363" customFormat="1" ht="12.75">
      <c r="A31" s="447" t="s">
        <v>212</v>
      </c>
      <c r="B31" s="431" t="s">
        <v>176</v>
      </c>
      <c r="C31" s="360"/>
      <c r="D31" s="360"/>
      <c r="E31" s="360">
        <v>47155</v>
      </c>
      <c r="F31" s="360">
        <v>61114</v>
      </c>
      <c r="G31" s="361"/>
      <c r="H31" s="360"/>
      <c r="I31" s="360"/>
      <c r="J31" s="360">
        <v>70861</v>
      </c>
      <c r="K31" s="448"/>
      <c r="L31" s="360"/>
      <c r="M31" s="360"/>
      <c r="N31" s="360"/>
      <c r="O31" s="362">
        <f t="shared" si="0"/>
        <v>179130</v>
      </c>
      <c r="P31" s="634"/>
    </row>
    <row r="32" spans="1:16" s="363" customFormat="1" ht="12.75">
      <c r="A32" s="447" t="s">
        <v>621</v>
      </c>
      <c r="B32" s="431" t="s">
        <v>162</v>
      </c>
      <c r="C32" s="360">
        <v>6</v>
      </c>
      <c r="D32" s="360"/>
      <c r="E32" s="360"/>
      <c r="F32" s="360">
        <v>18</v>
      </c>
      <c r="G32" s="361">
        <v>4</v>
      </c>
      <c r="H32" s="360"/>
      <c r="I32" s="360"/>
      <c r="J32" s="360">
        <v>26</v>
      </c>
      <c r="K32" s="448"/>
      <c r="L32" s="360"/>
      <c r="M32" s="360"/>
      <c r="N32" s="360"/>
      <c r="O32" s="362">
        <f t="shared" si="0"/>
        <v>54</v>
      </c>
      <c r="P32" s="634"/>
    </row>
    <row r="33" spans="1:16" s="363" customFormat="1" ht="12.75">
      <c r="A33" s="447" t="s">
        <v>170</v>
      </c>
      <c r="B33" s="431" t="s">
        <v>210</v>
      </c>
      <c r="C33" s="360"/>
      <c r="D33" s="360"/>
      <c r="E33" s="360"/>
      <c r="F33" s="360"/>
      <c r="G33" s="361"/>
      <c r="H33" s="360"/>
      <c r="I33" s="360"/>
      <c r="J33" s="360">
        <v>2051274</v>
      </c>
      <c r="K33" s="448"/>
      <c r="L33" s="360"/>
      <c r="M33" s="360"/>
      <c r="N33" s="360"/>
      <c r="O33" s="362">
        <f t="shared" si="0"/>
        <v>2051274</v>
      </c>
      <c r="P33" s="634"/>
    </row>
    <row r="34" spans="1:16" s="363" customFormat="1" ht="12.75">
      <c r="A34" s="447" t="s">
        <v>14</v>
      </c>
      <c r="B34" s="431" t="s">
        <v>15</v>
      </c>
      <c r="C34" s="360"/>
      <c r="D34" s="360"/>
      <c r="E34" s="360"/>
      <c r="F34" s="360"/>
      <c r="G34" s="361"/>
      <c r="H34" s="360"/>
      <c r="I34" s="360"/>
      <c r="J34" s="360"/>
      <c r="K34" s="448"/>
      <c r="L34" s="360"/>
      <c r="M34" s="360"/>
      <c r="N34" s="360"/>
      <c r="O34" s="362">
        <f t="shared" si="0"/>
        <v>0</v>
      </c>
      <c r="P34" s="634"/>
    </row>
    <row r="35" spans="1:15" ht="12.75">
      <c r="A35" s="435" t="s">
        <v>196</v>
      </c>
      <c r="B35" s="430">
        <v>630250</v>
      </c>
      <c r="C35" s="360"/>
      <c r="D35" s="360"/>
      <c r="E35" s="360"/>
      <c r="F35" s="360"/>
      <c r="G35" s="361"/>
      <c r="H35" s="360"/>
      <c r="I35" s="360"/>
      <c r="J35" s="360"/>
      <c r="K35" s="421"/>
      <c r="L35" s="213"/>
      <c r="M35" s="213"/>
      <c r="N35" s="213"/>
      <c r="O35" s="362">
        <f t="shared" si="0"/>
        <v>0</v>
      </c>
    </row>
    <row r="36" spans="1:16" ht="33.75">
      <c r="A36" s="435" t="s">
        <v>197</v>
      </c>
      <c r="B36" s="428" t="s">
        <v>19</v>
      </c>
      <c r="C36" s="360">
        <v>62</v>
      </c>
      <c r="D36" s="360"/>
      <c r="E36" s="360">
        <v>186</v>
      </c>
      <c r="F36" s="360">
        <v>3284</v>
      </c>
      <c r="G36" s="361">
        <v>9565</v>
      </c>
      <c r="H36" s="360"/>
      <c r="I36" s="360"/>
      <c r="J36" s="213">
        <v>14986</v>
      </c>
      <c r="K36" s="421"/>
      <c r="L36" s="360"/>
      <c r="M36" s="213">
        <v>8643</v>
      </c>
      <c r="N36" s="213"/>
      <c r="O36" s="362">
        <f t="shared" si="0"/>
        <v>36726</v>
      </c>
      <c r="P36" s="633">
        <f>7421+7565</f>
        <v>14986</v>
      </c>
    </row>
    <row r="37" spans="1:16" ht="22.5">
      <c r="A37" s="435" t="s">
        <v>796</v>
      </c>
      <c r="B37" s="428" t="s">
        <v>797</v>
      </c>
      <c r="C37" s="360"/>
      <c r="D37" s="360"/>
      <c r="E37" s="360"/>
      <c r="F37" s="360"/>
      <c r="G37" s="361"/>
      <c r="H37" s="360"/>
      <c r="I37" s="360"/>
      <c r="J37" s="213"/>
      <c r="K37" s="421"/>
      <c r="L37" s="360"/>
      <c r="M37" s="213"/>
      <c r="N37" s="213"/>
      <c r="O37" s="362">
        <f t="shared" si="0"/>
        <v>0</v>
      </c>
      <c r="P37" s="633">
        <f>+O36-J36+P36</f>
        <v>36726</v>
      </c>
    </row>
    <row r="38" spans="1:16" s="363" customFormat="1" ht="12.75">
      <c r="A38" s="447" t="s">
        <v>165</v>
      </c>
      <c r="B38" s="432">
        <v>660900</v>
      </c>
      <c r="C38" s="360"/>
      <c r="D38" s="360"/>
      <c r="E38" s="360"/>
      <c r="F38" s="360"/>
      <c r="G38" s="361"/>
      <c r="H38" s="360"/>
      <c r="I38" s="360"/>
      <c r="J38" s="360">
        <v>38167</v>
      </c>
      <c r="K38" s="448"/>
      <c r="L38" s="360"/>
      <c r="M38" s="360"/>
      <c r="N38" s="360"/>
      <c r="O38" s="362">
        <f t="shared" si="0"/>
        <v>38167</v>
      </c>
      <c r="P38" s="634"/>
    </row>
    <row r="39" spans="1:16" s="363" customFormat="1" ht="22.5">
      <c r="A39" s="447" t="s">
        <v>167</v>
      </c>
      <c r="B39" s="432" t="s">
        <v>166</v>
      </c>
      <c r="C39" s="360"/>
      <c r="D39" s="360"/>
      <c r="E39" s="360"/>
      <c r="F39" s="360">
        <v>947</v>
      </c>
      <c r="G39" s="361"/>
      <c r="H39" s="360"/>
      <c r="I39" s="360"/>
      <c r="J39" s="360">
        <v>-4901</v>
      </c>
      <c r="K39" s="360"/>
      <c r="L39" s="448"/>
      <c r="M39" s="360">
        <v>203</v>
      </c>
      <c r="N39" s="360"/>
      <c r="O39" s="362">
        <f t="shared" si="0"/>
        <v>-3751</v>
      </c>
      <c r="P39" s="634"/>
    </row>
    <row r="40" spans="1:16" s="363" customFormat="1" ht="12.75">
      <c r="A40" s="447" t="s">
        <v>798</v>
      </c>
      <c r="B40" s="432" t="s">
        <v>799</v>
      </c>
      <c r="C40" s="360"/>
      <c r="D40" s="360"/>
      <c r="E40" s="360"/>
      <c r="F40" s="360"/>
      <c r="G40" s="361"/>
      <c r="H40" s="360"/>
      <c r="I40" s="360"/>
      <c r="J40" s="360"/>
      <c r="K40" s="360"/>
      <c r="L40" s="448"/>
      <c r="M40" s="360"/>
      <c r="N40" s="360"/>
      <c r="O40" s="362">
        <f t="shared" si="0"/>
        <v>0</v>
      </c>
      <c r="P40" s="634"/>
    </row>
    <row r="41" spans="1:16" s="363" customFormat="1" ht="12.75">
      <c r="A41" s="447" t="s">
        <v>169</v>
      </c>
      <c r="B41" s="432" t="s">
        <v>168</v>
      </c>
      <c r="C41" s="385"/>
      <c r="D41" s="385"/>
      <c r="E41" s="385"/>
      <c r="F41" s="385"/>
      <c r="G41" s="451"/>
      <c r="H41" s="385"/>
      <c r="I41" s="385"/>
      <c r="J41" s="385"/>
      <c r="K41" s="385"/>
      <c r="L41" s="562"/>
      <c r="M41" s="385"/>
      <c r="N41" s="385"/>
      <c r="O41" s="362">
        <f t="shared" si="0"/>
        <v>0</v>
      </c>
      <c r="P41" s="634"/>
    </row>
    <row r="42" spans="1:16" s="363" customFormat="1" ht="13.5" thickBot="1">
      <c r="A42" s="452" t="s">
        <v>399</v>
      </c>
      <c r="B42" s="386"/>
      <c r="C42" s="386">
        <f aca="true" t="shared" si="1" ref="C42:M42">SUM(C5:C41)</f>
        <v>8198</v>
      </c>
      <c r="D42" s="386">
        <f t="shared" si="1"/>
        <v>120757</v>
      </c>
      <c r="E42" s="386">
        <f t="shared" si="1"/>
        <v>50814</v>
      </c>
      <c r="F42" s="386">
        <f t="shared" si="1"/>
        <v>93393</v>
      </c>
      <c r="G42" s="386">
        <f>SUM(G5:G41)</f>
        <v>15924</v>
      </c>
      <c r="H42" s="386">
        <f t="shared" si="1"/>
        <v>0</v>
      </c>
      <c r="I42" s="386">
        <f t="shared" si="1"/>
        <v>0</v>
      </c>
      <c r="J42" s="386">
        <f t="shared" si="1"/>
        <v>4935604</v>
      </c>
      <c r="K42" s="386">
        <f t="shared" si="1"/>
        <v>0</v>
      </c>
      <c r="L42" s="386">
        <f t="shared" si="1"/>
        <v>0</v>
      </c>
      <c r="M42" s="386">
        <f t="shared" si="1"/>
        <v>9326</v>
      </c>
      <c r="N42" s="386">
        <f>SUM(N5:N41)</f>
        <v>0</v>
      </c>
      <c r="O42" s="636">
        <f>SUM(O5:O41)</f>
        <v>5234016</v>
      </c>
      <c r="P42" s="634"/>
    </row>
    <row r="43" spans="3:16" s="298" customFormat="1" ht="12.75">
      <c r="C43" s="453"/>
      <c r="F43" s="540"/>
      <c r="O43" s="453"/>
      <c r="P43" s="453"/>
    </row>
    <row r="44" spans="4:16" s="298" customFormat="1" ht="12.75">
      <c r="D44" s="453"/>
      <c r="F44" s="454"/>
      <c r="J44" s="454"/>
      <c r="M44" s="453"/>
      <c r="P44" s="453"/>
    </row>
    <row r="45" spans="3:16" ht="12.75">
      <c r="C45" s="538"/>
      <c r="J45" s="446"/>
      <c r="P45" s="538"/>
    </row>
    <row r="46" spans="6:16" ht="12.75">
      <c r="F46" s="538"/>
      <c r="J46" s="446"/>
      <c r="P46" s="538"/>
    </row>
    <row r="47" spans="8:16" ht="12.75">
      <c r="H47" s="446"/>
      <c r="J47" s="446"/>
      <c r="M47" s="538"/>
      <c r="P47" s="538"/>
    </row>
    <row r="48" spans="10:16" ht="12.75">
      <c r="J48" s="446"/>
      <c r="M48" s="538"/>
      <c r="P48" s="538"/>
    </row>
    <row r="49" spans="10:16" ht="12.75">
      <c r="J49" s="446"/>
      <c r="P49" s="538"/>
    </row>
    <row r="50" spans="10:16" ht="12.75">
      <c r="J50" s="446"/>
      <c r="P50" s="538"/>
    </row>
    <row r="51" spans="7:16" ht="12.75">
      <c r="G51" s="538"/>
      <c r="P51" s="538"/>
    </row>
    <row r="52" spans="6:16" ht="12.75">
      <c r="F52" s="538"/>
      <c r="P52" s="538"/>
    </row>
    <row r="53" ht="12.75">
      <c r="P53" s="538"/>
    </row>
    <row r="54" spans="4:16" ht="12.75">
      <c r="D54" s="538"/>
      <c r="F54" s="243"/>
      <c r="P54" s="538"/>
    </row>
    <row r="55" ht="12.75">
      <c r="P55" s="538"/>
    </row>
    <row r="56" spans="4:16" ht="12.75">
      <c r="D56" s="538"/>
      <c r="P56" s="538"/>
    </row>
    <row r="57" ht="12.75">
      <c r="P57" s="538"/>
    </row>
    <row r="58" ht="12.75">
      <c r="P58" s="538"/>
    </row>
    <row r="59" ht="12.75">
      <c r="P59" s="538"/>
    </row>
    <row r="60" ht="12.75">
      <c r="P60" s="538"/>
    </row>
    <row r="61" ht="12.75">
      <c r="P61" s="538"/>
    </row>
    <row r="62" ht="12.75">
      <c r="P62" s="538"/>
    </row>
    <row r="63" ht="12.75">
      <c r="P63" s="538"/>
    </row>
    <row r="64" ht="12.75">
      <c r="P64" s="538"/>
    </row>
    <row r="65" ht="12.75">
      <c r="P65" s="538"/>
    </row>
    <row r="66" ht="12.75">
      <c r="P66" s="538"/>
    </row>
    <row r="67" ht="12.75">
      <c r="P67" s="538"/>
    </row>
    <row r="68" ht="12.75">
      <c r="P68" s="538"/>
    </row>
    <row r="69" ht="12.75">
      <c r="P69" s="538"/>
    </row>
    <row r="70" ht="12.75">
      <c r="P70" s="538"/>
    </row>
    <row r="71" ht="12.75">
      <c r="P71" s="538"/>
    </row>
    <row r="72" ht="12.75">
      <c r="P72" s="538"/>
    </row>
    <row r="73" ht="12.75">
      <c r="P73" s="538"/>
    </row>
    <row r="74" ht="12.75">
      <c r="P74" s="538"/>
    </row>
    <row r="75" ht="12.75">
      <c r="P75" s="538"/>
    </row>
    <row r="76" ht="12.75">
      <c r="P76" s="538"/>
    </row>
    <row r="77" ht="12.75">
      <c r="P77" s="538"/>
    </row>
    <row r="78" ht="12.75">
      <c r="P78" s="538"/>
    </row>
    <row r="79" ht="12.75">
      <c r="P79" s="538"/>
    </row>
    <row r="80" ht="12.75">
      <c r="P80" s="538"/>
    </row>
    <row r="81" ht="12.75">
      <c r="P81" s="538"/>
    </row>
    <row r="82" ht="12.75">
      <c r="P82" s="538"/>
    </row>
    <row r="83" ht="12.75">
      <c r="P83" s="538"/>
    </row>
    <row r="84" ht="12.75">
      <c r="P84" s="538"/>
    </row>
    <row r="85" ht="12.75">
      <c r="P85" s="538"/>
    </row>
    <row r="86" ht="12.75">
      <c r="P86" s="538"/>
    </row>
    <row r="87" ht="12.75">
      <c r="P87" s="538"/>
    </row>
    <row r="88" ht="12.75">
      <c r="P88" s="538"/>
    </row>
    <row r="89" ht="12.75">
      <c r="P89" s="538"/>
    </row>
    <row r="90" ht="12.75">
      <c r="P90" s="538"/>
    </row>
    <row r="91" ht="12.75">
      <c r="P91" s="538"/>
    </row>
    <row r="92" ht="12.75">
      <c r="P92" s="538"/>
    </row>
    <row r="93" ht="12.75">
      <c r="P93" s="538"/>
    </row>
    <row r="94" ht="12.75">
      <c r="P94" s="538"/>
    </row>
    <row r="95" ht="12.75">
      <c r="P95" s="538"/>
    </row>
    <row r="96" ht="12.75">
      <c r="P96" s="538"/>
    </row>
    <row r="97" ht="12.75">
      <c r="P97" s="538"/>
    </row>
    <row r="98" ht="12.75">
      <c r="P98" s="538"/>
    </row>
    <row r="99" ht="12.75">
      <c r="P99" s="538"/>
    </row>
    <row r="100" ht="12.75">
      <c r="P100" s="538"/>
    </row>
    <row r="101" ht="12.75">
      <c r="P101" s="538"/>
    </row>
    <row r="102" ht="12.75">
      <c r="P102" s="538"/>
    </row>
    <row r="103" ht="12.75">
      <c r="P103" s="538"/>
    </row>
    <row r="104" ht="12.75">
      <c r="P104" s="538"/>
    </row>
    <row r="105" ht="12.75">
      <c r="P105" s="538"/>
    </row>
    <row r="106" ht="12.75">
      <c r="P106" s="538"/>
    </row>
    <row r="107" ht="12.75">
      <c r="P107" s="538"/>
    </row>
    <row r="108" ht="12.75">
      <c r="P108" s="538"/>
    </row>
    <row r="109" ht="12.75">
      <c r="P109" s="538"/>
    </row>
    <row r="110" ht="12.75">
      <c r="P110" s="538"/>
    </row>
    <row r="111" ht="12.75">
      <c r="P111" s="538"/>
    </row>
    <row r="112" ht="12.75">
      <c r="P112" s="538"/>
    </row>
    <row r="113" ht="12.75">
      <c r="P113" s="538"/>
    </row>
    <row r="114" ht="12.75">
      <c r="P114" s="538"/>
    </row>
    <row r="115" ht="12.75">
      <c r="P115" s="538"/>
    </row>
    <row r="116" ht="12.75">
      <c r="P116" s="538"/>
    </row>
    <row r="117" ht="12.75">
      <c r="P117" s="538"/>
    </row>
    <row r="118" ht="12.75">
      <c r="P118" s="538"/>
    </row>
    <row r="119" ht="12.75">
      <c r="P119" s="538"/>
    </row>
    <row r="120" ht="12.75">
      <c r="P120" s="538"/>
    </row>
    <row r="121" ht="12.75">
      <c r="P121" s="538"/>
    </row>
    <row r="122" ht="12.75">
      <c r="P122" s="538"/>
    </row>
    <row r="123" ht="12.75">
      <c r="P123" s="538"/>
    </row>
    <row r="124" ht="12.75">
      <c r="P124" s="538"/>
    </row>
    <row r="125" ht="12.75">
      <c r="P125" s="538"/>
    </row>
    <row r="126" ht="12.75">
      <c r="P126" s="538"/>
    </row>
    <row r="127" ht="12.75">
      <c r="P127" s="538"/>
    </row>
    <row r="128" ht="12.75">
      <c r="P128" s="538"/>
    </row>
    <row r="129" ht="12.75">
      <c r="P129" s="538"/>
    </row>
    <row r="130" ht="12.75">
      <c r="P130" s="538"/>
    </row>
    <row r="131" ht="12.75">
      <c r="P131" s="538"/>
    </row>
    <row r="132" ht="12.75">
      <c r="P132" s="538"/>
    </row>
    <row r="133" ht="12.75">
      <c r="P133" s="538"/>
    </row>
    <row r="134" ht="12.75">
      <c r="P134" s="538"/>
    </row>
    <row r="135" ht="12.75">
      <c r="P135" s="538"/>
    </row>
    <row r="136" ht="12.75">
      <c r="P136" s="538"/>
    </row>
    <row r="137" ht="12.75">
      <c r="P137" s="538"/>
    </row>
    <row r="138" ht="12.75">
      <c r="P138" s="538"/>
    </row>
    <row r="139" ht="12.75">
      <c r="P139" s="538"/>
    </row>
    <row r="140" ht="12.75">
      <c r="P140" s="538"/>
    </row>
    <row r="141" ht="12.75">
      <c r="P141" s="538"/>
    </row>
    <row r="142" ht="12.75">
      <c r="P142" s="538"/>
    </row>
    <row r="143" ht="12.75">
      <c r="P143" s="538"/>
    </row>
    <row r="144" ht="12.75">
      <c r="P144" s="538"/>
    </row>
    <row r="145" ht="12.75">
      <c r="P145" s="538"/>
    </row>
    <row r="146" ht="12.75">
      <c r="P146" s="538"/>
    </row>
    <row r="147" ht="12.75">
      <c r="P147" s="538"/>
    </row>
    <row r="148" ht="12.75">
      <c r="P148" s="538"/>
    </row>
    <row r="149" ht="12.75">
      <c r="P149" s="538"/>
    </row>
    <row r="150" ht="12.75">
      <c r="P150" s="538"/>
    </row>
    <row r="151" ht="12.75">
      <c r="P151" s="538"/>
    </row>
    <row r="152" ht="12.75">
      <c r="P152" s="538"/>
    </row>
    <row r="153" ht="12.75">
      <c r="P153" s="538"/>
    </row>
    <row r="154" ht="12.75">
      <c r="P154" s="538"/>
    </row>
    <row r="155" ht="12.75">
      <c r="P155" s="538"/>
    </row>
    <row r="156" ht="12.75">
      <c r="P156" s="538"/>
    </row>
    <row r="157" ht="12.75">
      <c r="P157" s="538"/>
    </row>
    <row r="158" ht="12.75">
      <c r="P158" s="538"/>
    </row>
    <row r="159" ht="12.75">
      <c r="P159" s="538"/>
    </row>
    <row r="160" ht="12.75">
      <c r="P160" s="538"/>
    </row>
    <row r="161" ht="12.75">
      <c r="P161" s="538"/>
    </row>
    <row r="162" ht="12.75">
      <c r="P162" s="538"/>
    </row>
    <row r="163" ht="12.75">
      <c r="P163" s="538"/>
    </row>
    <row r="164" ht="12.75">
      <c r="P164" s="538"/>
    </row>
    <row r="165" ht="12.75">
      <c r="P165" s="538"/>
    </row>
    <row r="166" ht="12.75">
      <c r="P166" s="538"/>
    </row>
    <row r="167" ht="12.75">
      <c r="P167" s="538"/>
    </row>
    <row r="168" ht="12.75">
      <c r="P168" s="538"/>
    </row>
    <row r="169" ht="12.75">
      <c r="P169" s="538"/>
    </row>
    <row r="170" ht="12.75">
      <c r="P170" s="538"/>
    </row>
    <row r="171" ht="12.75">
      <c r="P171" s="538"/>
    </row>
    <row r="172" ht="12.75">
      <c r="P172" s="538"/>
    </row>
    <row r="173" ht="12.75">
      <c r="P173" s="538"/>
    </row>
    <row r="174" ht="12.75">
      <c r="P174" s="538"/>
    </row>
    <row r="175" ht="12.75">
      <c r="P175" s="538"/>
    </row>
    <row r="176" ht="12.75">
      <c r="P176" s="538"/>
    </row>
    <row r="177" ht="12.75">
      <c r="P177" s="538"/>
    </row>
    <row r="178" ht="12.75">
      <c r="P178" s="538"/>
    </row>
    <row r="179" ht="12.75">
      <c r="P179" s="538"/>
    </row>
    <row r="180" ht="12.75">
      <c r="P180" s="538"/>
    </row>
    <row r="181" ht="12.75">
      <c r="P181" s="538"/>
    </row>
    <row r="182" ht="12.75">
      <c r="P182" s="538"/>
    </row>
    <row r="183" ht="12.75">
      <c r="P183" s="538"/>
    </row>
    <row r="184" ht="12.75">
      <c r="P184" s="538"/>
    </row>
    <row r="185" ht="12.75">
      <c r="P185" s="538"/>
    </row>
    <row r="186" ht="12.75">
      <c r="P186" s="538"/>
    </row>
    <row r="187" ht="12.75">
      <c r="P187" s="538"/>
    </row>
    <row r="188" ht="12.75">
      <c r="P188" s="538"/>
    </row>
    <row r="189" ht="12.75">
      <c r="P189" s="538"/>
    </row>
    <row r="190" ht="12.75">
      <c r="P190" s="538"/>
    </row>
    <row r="191" ht="12.75">
      <c r="P191" s="538"/>
    </row>
    <row r="192" ht="12.75">
      <c r="P192" s="538"/>
    </row>
    <row r="193" ht="12.75">
      <c r="P193" s="538"/>
    </row>
    <row r="194" ht="12.75">
      <c r="P194" s="538"/>
    </row>
    <row r="195" ht="12.75">
      <c r="P195" s="538"/>
    </row>
    <row r="196" ht="12.75">
      <c r="P196" s="538"/>
    </row>
    <row r="197" ht="12.75">
      <c r="P197" s="538"/>
    </row>
    <row r="198" ht="12.75">
      <c r="P198" s="538"/>
    </row>
    <row r="199" ht="12.75">
      <c r="P199" s="538"/>
    </row>
    <row r="200" ht="12.75">
      <c r="P200" s="538"/>
    </row>
    <row r="201" ht="12.75">
      <c r="P201" s="538"/>
    </row>
    <row r="202" ht="12.75">
      <c r="P202" s="538"/>
    </row>
    <row r="203" ht="12.75">
      <c r="P203" s="538"/>
    </row>
    <row r="204" ht="12.75">
      <c r="P204" s="538"/>
    </row>
    <row r="205" ht="12.75">
      <c r="P205" s="538"/>
    </row>
    <row r="206" ht="12.75">
      <c r="P206" s="538"/>
    </row>
    <row r="207" ht="12.75">
      <c r="P207" s="538"/>
    </row>
    <row r="208" ht="12.75">
      <c r="P208" s="538"/>
    </row>
    <row r="209" ht="12.75">
      <c r="P209" s="538"/>
    </row>
    <row r="210" ht="12.75">
      <c r="P210" s="538"/>
    </row>
    <row r="211" ht="12.75">
      <c r="P211" s="538"/>
    </row>
    <row r="212" ht="12.75">
      <c r="P212" s="538"/>
    </row>
    <row r="213" ht="12.75">
      <c r="P213" s="538"/>
    </row>
    <row r="214" ht="12.75">
      <c r="P214" s="538"/>
    </row>
    <row r="215" ht="12.75">
      <c r="P215" s="538"/>
    </row>
    <row r="216" ht="12.75">
      <c r="P216" s="538"/>
    </row>
    <row r="217" ht="12.75">
      <c r="P217" s="538"/>
    </row>
    <row r="218" ht="12.75">
      <c r="P218" s="538"/>
    </row>
    <row r="219" ht="12.75">
      <c r="P219" s="538"/>
    </row>
    <row r="220" ht="12.75">
      <c r="P220" s="538"/>
    </row>
    <row r="221" ht="12.75">
      <c r="P221" s="538"/>
    </row>
    <row r="222" ht="12.75">
      <c r="P222" s="538"/>
    </row>
    <row r="223" ht="12.75">
      <c r="P223" s="538"/>
    </row>
    <row r="224" ht="12.75">
      <c r="P224" s="538"/>
    </row>
    <row r="225" ht="12.75">
      <c r="P225" s="538"/>
    </row>
    <row r="226" ht="12.75">
      <c r="P226" s="538"/>
    </row>
    <row r="227" ht="12.75">
      <c r="P227" s="538"/>
    </row>
    <row r="228" ht="12.75">
      <c r="P228" s="538"/>
    </row>
    <row r="229" ht="12.75">
      <c r="P229" s="538"/>
    </row>
    <row r="230" ht="12.75">
      <c r="P230" s="538"/>
    </row>
    <row r="231" ht="12.75">
      <c r="P231" s="538"/>
    </row>
    <row r="232" ht="12.75">
      <c r="P232" s="538"/>
    </row>
    <row r="233" ht="12.75">
      <c r="P233" s="538"/>
    </row>
    <row r="234" ht="12.75">
      <c r="P234" s="538"/>
    </row>
    <row r="235" ht="12.75">
      <c r="P235" s="538"/>
    </row>
  </sheetData>
  <printOptions horizontalCentered="1" verticalCentered="1"/>
  <pageMargins left="0.2362204724409449" right="0.2362204724409449" top="0.33" bottom="0.34" header="0.17" footer="0.19"/>
  <pageSetup firstPageNumber="63" useFirstPageNumber="1" fitToHeight="1" fitToWidth="1" horizontalDpi="600" verticalDpi="600" orientation="landscape" paperSize="8" scale="96" r:id="rId1"/>
  <headerFooter alignWithMargins="0">
    <oddHeader>&amp;CTabelle N.I.12a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108"/>
  <sheetViews>
    <sheetView tabSelected="1" workbookViewId="0" topLeftCell="A4">
      <pane xSplit="2" ySplit="2" topLeftCell="I42" activePane="bottomRight" state="frozen"/>
      <selection pane="topLeft" activeCell="A4" sqref="A4"/>
      <selection pane="topRight" activeCell="C4" sqref="C4"/>
      <selection pane="bottomLeft" activeCell="A5" sqref="A5"/>
      <selection pane="bottomRight" activeCell="M17" sqref="M17"/>
    </sheetView>
  </sheetViews>
  <sheetFormatPr defaultColWidth="9.140625" defaultRowHeight="12.75"/>
  <cols>
    <col min="1" max="1" width="32.421875" style="381" customWidth="1"/>
    <col min="2" max="2" width="8.7109375" style="473" customWidth="1"/>
    <col min="3" max="14" width="12.7109375" style="383" customWidth="1"/>
    <col min="15" max="15" width="10.00390625" style="383" customWidth="1"/>
    <col min="16" max="16384" width="9.140625" style="363" customWidth="1"/>
  </cols>
  <sheetData>
    <row r="1" spans="1:2" ht="12.75">
      <c r="A1" s="455" t="s">
        <v>400</v>
      </c>
      <c r="B1" s="456"/>
    </row>
    <row r="2" spans="1:2" ht="13.5" thickBot="1">
      <c r="A2" s="457"/>
      <c r="B2" s="458"/>
    </row>
    <row r="3" spans="1:15" ht="13.5" customHeight="1" thickBot="1">
      <c r="A3" s="459" t="s">
        <v>401</v>
      </c>
      <c r="B3" s="460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461"/>
    </row>
    <row r="4" spans="1:15" s="510" customFormat="1" ht="18">
      <c r="A4" s="505" t="s">
        <v>402</v>
      </c>
      <c r="B4" s="506" t="s">
        <v>713</v>
      </c>
      <c r="C4" s="507" t="s">
        <v>385</v>
      </c>
      <c r="D4" s="507" t="s">
        <v>386</v>
      </c>
      <c r="E4" s="507" t="s">
        <v>387</v>
      </c>
      <c r="F4" s="507" t="s">
        <v>388</v>
      </c>
      <c r="G4" s="508" t="s">
        <v>389</v>
      </c>
      <c r="H4" s="507" t="s">
        <v>390</v>
      </c>
      <c r="I4" s="507" t="s">
        <v>391</v>
      </c>
      <c r="J4" s="507" t="s">
        <v>392</v>
      </c>
      <c r="K4" s="507" t="s">
        <v>663</v>
      </c>
      <c r="L4" s="507" t="s">
        <v>754</v>
      </c>
      <c r="M4" s="507" t="s">
        <v>380</v>
      </c>
      <c r="N4" s="507" t="s">
        <v>393</v>
      </c>
      <c r="O4" s="509" t="s">
        <v>348</v>
      </c>
    </row>
    <row r="5" spans="1:15" ht="12.75">
      <c r="A5" s="462"/>
      <c r="B5" s="437"/>
      <c r="C5" s="360"/>
      <c r="D5" s="360"/>
      <c r="E5" s="360"/>
      <c r="F5" s="463"/>
      <c r="G5" s="361"/>
      <c r="H5" s="360"/>
      <c r="I5" s="360"/>
      <c r="J5" s="360"/>
      <c r="K5" s="360"/>
      <c r="L5" s="360"/>
      <c r="M5" s="360"/>
      <c r="N5" s="360"/>
      <c r="O5" s="362"/>
    </row>
    <row r="6" spans="1:15" ht="12.75">
      <c r="A6" s="359" t="s">
        <v>403</v>
      </c>
      <c r="B6" s="464"/>
      <c r="C6" s="360"/>
      <c r="D6" s="360"/>
      <c r="E6" s="360"/>
      <c r="F6" s="360"/>
      <c r="G6" s="361"/>
      <c r="H6" s="360"/>
      <c r="I6" s="360"/>
      <c r="J6" s="360"/>
      <c r="K6" s="360"/>
      <c r="L6" s="360"/>
      <c r="M6" s="360"/>
      <c r="N6" s="360"/>
      <c r="O6" s="362"/>
    </row>
    <row r="7" spans="1:15" ht="12.75">
      <c r="A7" s="435" t="s">
        <v>395</v>
      </c>
      <c r="B7" s="437" t="s">
        <v>714</v>
      </c>
      <c r="C7" s="360"/>
      <c r="D7" s="360"/>
      <c r="E7" s="360"/>
      <c r="F7" s="360"/>
      <c r="G7" s="361"/>
      <c r="H7" s="360"/>
      <c r="I7" s="360"/>
      <c r="K7" s="360"/>
      <c r="L7" s="360"/>
      <c r="M7" s="360"/>
      <c r="N7" s="360"/>
      <c r="O7" s="362">
        <f>SUM(C7:N7)</f>
        <v>0</v>
      </c>
    </row>
    <row r="8" spans="1:15" ht="12.75">
      <c r="A8" s="435" t="s">
        <v>36</v>
      </c>
      <c r="B8" s="437" t="s">
        <v>714</v>
      </c>
      <c r="C8" s="360"/>
      <c r="D8" s="360"/>
      <c r="E8" s="360"/>
      <c r="F8" s="360"/>
      <c r="G8" s="361"/>
      <c r="H8" s="360"/>
      <c r="I8" s="360"/>
      <c r="J8" s="383">
        <v>95880680</v>
      </c>
      <c r="K8" s="360"/>
      <c r="L8" s="360"/>
      <c r="M8" s="360">
        <v>7587099</v>
      </c>
      <c r="N8" s="360"/>
      <c r="O8" s="362">
        <f aca="true" t="shared" si="0" ref="O8:O64">SUM(C8:N8)</f>
        <v>103467779</v>
      </c>
    </row>
    <row r="9" spans="1:15" ht="12.75">
      <c r="A9" s="435" t="s">
        <v>37</v>
      </c>
      <c r="B9" s="437"/>
      <c r="C9" s="360">
        <v>2244</v>
      </c>
      <c r="D9" s="360">
        <v>383698</v>
      </c>
      <c r="E9" s="360">
        <v>358738</v>
      </c>
      <c r="F9" s="360">
        <v>2706457</v>
      </c>
      <c r="G9" s="361">
        <v>586748</v>
      </c>
      <c r="H9" s="360"/>
      <c r="I9" s="360">
        <v>2750197</v>
      </c>
      <c r="K9" s="360">
        <v>11507354</v>
      </c>
      <c r="L9" s="360"/>
      <c r="M9" s="360"/>
      <c r="N9" s="360">
        <v>1274306</v>
      </c>
      <c r="O9" s="362">
        <f t="shared" si="0"/>
        <v>19569742</v>
      </c>
    </row>
    <row r="10" spans="1:15" ht="12.75">
      <c r="A10" s="359" t="s">
        <v>695</v>
      </c>
      <c r="B10" s="437" t="s">
        <v>715</v>
      </c>
      <c r="C10" s="360"/>
      <c r="D10" s="360"/>
      <c r="E10" s="360"/>
      <c r="F10" s="360">
        <v>18473</v>
      </c>
      <c r="G10" s="361"/>
      <c r="H10" s="360"/>
      <c r="I10" s="360"/>
      <c r="J10" s="360"/>
      <c r="K10" s="360"/>
      <c r="L10" s="360"/>
      <c r="M10" s="360"/>
      <c r="N10" s="360"/>
      <c r="O10" s="362">
        <f t="shared" si="0"/>
        <v>18473</v>
      </c>
    </row>
    <row r="11" spans="1:15" ht="12.75">
      <c r="A11" s="465" t="s">
        <v>198</v>
      </c>
      <c r="B11" s="438">
        <v>335200</v>
      </c>
      <c r="C11" s="360"/>
      <c r="D11" s="360"/>
      <c r="E11" s="360"/>
      <c r="F11" s="360"/>
      <c r="G11" s="361"/>
      <c r="H11" s="360"/>
      <c r="I11" s="360"/>
      <c r="J11" s="360"/>
      <c r="K11" s="360"/>
      <c r="L11" s="360"/>
      <c r="M11" s="360"/>
      <c r="N11" s="360"/>
      <c r="O11" s="362">
        <f t="shared" si="0"/>
        <v>0</v>
      </c>
    </row>
    <row r="12" spans="1:15" ht="12.75">
      <c r="A12" s="359" t="s">
        <v>36</v>
      </c>
      <c r="B12" s="437">
        <v>10</v>
      </c>
      <c r="C12" s="360"/>
      <c r="D12" s="360"/>
      <c r="E12" s="360"/>
      <c r="F12" s="360"/>
      <c r="G12" s="361"/>
      <c r="H12" s="360"/>
      <c r="I12" s="360"/>
      <c r="J12" s="360">
        <v>36909900</v>
      </c>
      <c r="K12" s="360"/>
      <c r="L12" s="360"/>
      <c r="M12" s="360">
        <v>8247016</v>
      </c>
      <c r="N12" s="360"/>
      <c r="O12" s="362">
        <f t="shared" si="0"/>
        <v>45156916</v>
      </c>
    </row>
    <row r="13" spans="1:15" ht="12.75">
      <c r="A13" s="359" t="s">
        <v>35</v>
      </c>
      <c r="B13" s="437"/>
      <c r="C13" s="360">
        <v>2626</v>
      </c>
      <c r="D13" s="360">
        <v>22594</v>
      </c>
      <c r="E13" s="360">
        <v>52185</v>
      </c>
      <c r="F13" s="360">
        <v>495763</v>
      </c>
      <c r="G13" s="361">
        <v>88670</v>
      </c>
      <c r="H13" s="360"/>
      <c r="I13" s="360">
        <v>120301</v>
      </c>
      <c r="J13" s="360"/>
      <c r="K13" s="360">
        <v>1260278</v>
      </c>
      <c r="L13" s="360"/>
      <c r="M13" s="360"/>
      <c r="N13" s="360">
        <v>168745</v>
      </c>
      <c r="O13" s="362">
        <f t="shared" si="0"/>
        <v>2211162</v>
      </c>
    </row>
    <row r="14" spans="1:15" ht="12.75">
      <c r="A14" s="466" t="s">
        <v>139</v>
      </c>
      <c r="B14" s="437">
        <v>10</v>
      </c>
      <c r="C14" s="360"/>
      <c r="D14" s="360"/>
      <c r="E14" s="360"/>
      <c r="F14" s="360"/>
      <c r="G14" s="361"/>
      <c r="H14" s="360"/>
      <c r="I14" s="360"/>
      <c r="J14" s="360"/>
      <c r="K14" s="360"/>
      <c r="L14" s="360"/>
      <c r="M14" s="360"/>
      <c r="N14" s="360"/>
      <c r="O14" s="362">
        <f t="shared" si="0"/>
        <v>0</v>
      </c>
    </row>
    <row r="15" spans="1:15" ht="22.5">
      <c r="A15" s="466" t="s">
        <v>140</v>
      </c>
      <c r="B15" s="437">
        <v>10</v>
      </c>
      <c r="C15" s="360"/>
      <c r="D15" s="360"/>
      <c r="E15" s="360"/>
      <c r="F15" s="360"/>
      <c r="G15" s="361"/>
      <c r="H15" s="360"/>
      <c r="I15" s="360"/>
      <c r="J15" s="360"/>
      <c r="K15" s="360">
        <v>18775</v>
      </c>
      <c r="L15" s="360"/>
      <c r="M15" s="360"/>
      <c r="N15" s="360"/>
      <c r="O15" s="362">
        <f t="shared" si="0"/>
        <v>18775</v>
      </c>
    </row>
    <row r="16" spans="1:15" ht="12.75">
      <c r="A16" s="467" t="s">
        <v>213</v>
      </c>
      <c r="B16" s="437">
        <v>20</v>
      </c>
      <c r="C16" s="360"/>
      <c r="D16" s="360"/>
      <c r="E16" s="360"/>
      <c r="F16" s="360"/>
      <c r="G16" s="361"/>
      <c r="H16" s="360"/>
      <c r="I16" s="360"/>
      <c r="J16" s="360">
        <v>195652</v>
      </c>
      <c r="K16" s="360"/>
      <c r="L16" s="360"/>
      <c r="M16" s="360">
        <v>2621</v>
      </c>
      <c r="N16" s="360">
        <v>2563</v>
      </c>
      <c r="O16" s="362">
        <f t="shared" si="0"/>
        <v>200836</v>
      </c>
    </row>
    <row r="17" spans="1:15" ht="23.25" customHeight="1">
      <c r="A17" s="359" t="s">
        <v>190</v>
      </c>
      <c r="B17" s="438">
        <v>335210</v>
      </c>
      <c r="C17" s="360"/>
      <c r="D17" s="360">
        <v>1222</v>
      </c>
      <c r="E17" s="360">
        <v>3576</v>
      </c>
      <c r="F17" s="360">
        <v>11285</v>
      </c>
      <c r="G17" s="361">
        <v>9399</v>
      </c>
      <c r="H17" s="360"/>
      <c r="I17" s="360">
        <v>13805</v>
      </c>
      <c r="J17" s="360">
        <v>2518345</v>
      </c>
      <c r="K17" s="360">
        <v>288772</v>
      </c>
      <c r="L17" s="360"/>
      <c r="M17" s="360">
        <v>407680</v>
      </c>
      <c r="N17" s="360">
        <v>4558</v>
      </c>
      <c r="O17" s="362">
        <f t="shared" si="0"/>
        <v>3258642</v>
      </c>
    </row>
    <row r="18" spans="1:15" ht="12.75">
      <c r="A18" s="465" t="s">
        <v>396</v>
      </c>
      <c r="B18" s="438">
        <v>335300</v>
      </c>
      <c r="C18" s="360"/>
      <c r="D18" s="360"/>
      <c r="E18" s="360"/>
      <c r="F18" s="360"/>
      <c r="G18" s="361"/>
      <c r="H18" s="360"/>
      <c r="I18" s="360"/>
      <c r="J18" s="360"/>
      <c r="K18" s="360"/>
      <c r="L18" s="360"/>
      <c r="M18" s="360"/>
      <c r="N18" s="360"/>
      <c r="O18" s="362">
        <f t="shared" si="0"/>
        <v>0</v>
      </c>
    </row>
    <row r="19" spans="1:15" ht="12.75">
      <c r="A19" s="466" t="s">
        <v>614</v>
      </c>
      <c r="B19" s="437"/>
      <c r="C19" s="360"/>
      <c r="D19" s="363"/>
      <c r="E19" s="363"/>
      <c r="F19" s="360"/>
      <c r="G19" s="361"/>
      <c r="H19" s="360"/>
      <c r="I19" s="360"/>
      <c r="J19" s="360"/>
      <c r="K19" s="360"/>
      <c r="L19" s="360"/>
      <c r="M19" s="360"/>
      <c r="N19" s="360"/>
      <c r="O19" s="362">
        <f>SUM(C19:N19)</f>
        <v>0</v>
      </c>
    </row>
    <row r="20" spans="1:15" ht="12.75">
      <c r="A20" s="359" t="s">
        <v>622</v>
      </c>
      <c r="B20" s="437"/>
      <c r="C20" s="360"/>
      <c r="D20" s="360">
        <v>65</v>
      </c>
      <c r="E20" s="360">
        <v>321</v>
      </c>
      <c r="F20" s="360">
        <v>580</v>
      </c>
      <c r="G20" s="361">
        <v>67</v>
      </c>
      <c r="H20" s="360"/>
      <c r="I20" s="360">
        <v>1124</v>
      </c>
      <c r="J20" s="360">
        <f>-965493+1099950+1</f>
        <v>134458</v>
      </c>
      <c r="K20" s="360">
        <v>8793</v>
      </c>
      <c r="L20" s="360"/>
      <c r="M20" s="360">
        <v>33377</v>
      </c>
      <c r="N20" s="360">
        <v>688</v>
      </c>
      <c r="O20" s="362">
        <f t="shared" si="0"/>
        <v>179473</v>
      </c>
    </row>
    <row r="21" spans="1:15" ht="12.75">
      <c r="A21" s="359" t="s">
        <v>625</v>
      </c>
      <c r="B21" s="437"/>
      <c r="C21" s="360"/>
      <c r="D21" s="360"/>
      <c r="E21" s="360"/>
      <c r="F21" s="360"/>
      <c r="G21" s="361"/>
      <c r="H21" s="360"/>
      <c r="I21" s="360"/>
      <c r="J21" s="360">
        <v>965493</v>
      </c>
      <c r="K21" s="360"/>
      <c r="L21" s="360"/>
      <c r="M21" s="360"/>
      <c r="N21" s="360"/>
      <c r="O21" s="362">
        <f t="shared" si="0"/>
        <v>965493</v>
      </c>
    </row>
    <row r="22" spans="1:15" ht="12.75">
      <c r="A22" s="359" t="s">
        <v>141</v>
      </c>
      <c r="B22" s="437"/>
      <c r="C22" s="360"/>
      <c r="D22" s="360"/>
      <c r="E22" s="360"/>
      <c r="F22" s="360"/>
      <c r="G22" s="361"/>
      <c r="H22" s="360"/>
      <c r="I22" s="360"/>
      <c r="J22" s="360"/>
      <c r="K22" s="360"/>
      <c r="L22" s="360">
        <v>131045</v>
      </c>
      <c r="M22" s="360"/>
      <c r="N22" s="360"/>
      <c r="O22" s="362">
        <f t="shared" si="0"/>
        <v>131045</v>
      </c>
    </row>
    <row r="23" spans="1:15" ht="12.75">
      <c r="A23" s="359" t="s">
        <v>142</v>
      </c>
      <c r="B23" s="437"/>
      <c r="C23" s="360"/>
      <c r="D23" s="360"/>
      <c r="E23" s="360"/>
      <c r="F23" s="360"/>
      <c r="G23" s="361"/>
      <c r="H23" s="360"/>
      <c r="I23" s="360"/>
      <c r="J23" s="360"/>
      <c r="K23" s="360"/>
      <c r="L23" s="360">
        <v>241978</v>
      </c>
      <c r="M23" s="360"/>
      <c r="N23" s="360"/>
      <c r="O23" s="362">
        <f t="shared" si="0"/>
        <v>241978</v>
      </c>
    </row>
    <row r="24" spans="1:15" ht="12.75">
      <c r="A24" s="359" t="s">
        <v>194</v>
      </c>
      <c r="B24" s="437" t="s">
        <v>200</v>
      </c>
      <c r="C24" s="360"/>
      <c r="D24" s="360"/>
      <c r="E24" s="360"/>
      <c r="F24" s="360">
        <v>12914</v>
      </c>
      <c r="G24" s="361"/>
      <c r="H24" s="360"/>
      <c r="I24" s="360"/>
      <c r="J24" s="360">
        <v>90944</v>
      </c>
      <c r="K24" s="360"/>
      <c r="L24" s="360"/>
      <c r="M24" s="360">
        <v>35190</v>
      </c>
      <c r="N24" s="360">
        <v>1461</v>
      </c>
      <c r="O24" s="362">
        <f t="shared" si="0"/>
        <v>140509</v>
      </c>
    </row>
    <row r="25" spans="1:15" ht="12.75">
      <c r="A25" s="359" t="s">
        <v>195</v>
      </c>
      <c r="B25" s="437" t="s">
        <v>201</v>
      </c>
      <c r="C25" s="360"/>
      <c r="D25" s="360"/>
      <c r="E25" s="360"/>
      <c r="F25" s="360">
        <v>45963</v>
      </c>
      <c r="G25" s="361"/>
      <c r="H25" s="360"/>
      <c r="I25" s="360"/>
      <c r="J25" s="360">
        <f>949+2928</f>
        <v>3877</v>
      </c>
      <c r="K25" s="360"/>
      <c r="L25" s="360"/>
      <c r="M25" s="360"/>
      <c r="N25" s="360"/>
      <c r="O25" s="362">
        <f t="shared" si="0"/>
        <v>49840</v>
      </c>
    </row>
    <row r="26" spans="1:15" ht="12.75">
      <c r="A26" s="359" t="s">
        <v>143</v>
      </c>
      <c r="B26" s="437" t="s">
        <v>144</v>
      </c>
      <c r="C26" s="360"/>
      <c r="D26" s="360"/>
      <c r="E26" s="360"/>
      <c r="F26" s="360"/>
      <c r="G26" s="361"/>
      <c r="H26" s="360"/>
      <c r="I26" s="360"/>
      <c r="J26" s="360"/>
      <c r="K26" s="360"/>
      <c r="L26" s="360"/>
      <c r="M26" s="360"/>
      <c r="N26" s="360"/>
      <c r="O26" s="362">
        <f t="shared" si="0"/>
        <v>0</v>
      </c>
    </row>
    <row r="27" spans="1:15" ht="12.75">
      <c r="A27" s="359"/>
      <c r="B27" s="437"/>
      <c r="C27" s="360"/>
      <c r="D27" s="360"/>
      <c r="E27" s="360"/>
      <c r="F27" s="360"/>
      <c r="G27" s="361"/>
      <c r="H27" s="360"/>
      <c r="I27" s="360"/>
      <c r="J27" s="360"/>
      <c r="K27" s="360"/>
      <c r="L27" s="360"/>
      <c r="M27" s="360"/>
      <c r="N27" s="360"/>
      <c r="O27" s="362">
        <f t="shared" si="0"/>
        <v>0</v>
      </c>
    </row>
    <row r="28" spans="1:15" ht="12.75">
      <c r="A28" s="465" t="s">
        <v>404</v>
      </c>
      <c r="B28" s="437"/>
      <c r="C28" s="360"/>
      <c r="D28" s="360"/>
      <c r="E28" s="360"/>
      <c r="F28" s="360"/>
      <c r="G28" s="361"/>
      <c r="H28" s="360"/>
      <c r="I28" s="360"/>
      <c r="J28" s="360"/>
      <c r="K28" s="360"/>
      <c r="L28" s="360"/>
      <c r="M28" s="360"/>
      <c r="N28" s="360"/>
      <c r="O28" s="362">
        <f t="shared" si="0"/>
        <v>0</v>
      </c>
    </row>
    <row r="29" spans="1:15" ht="12.75">
      <c r="A29" s="468" t="s">
        <v>755</v>
      </c>
      <c r="B29" s="438">
        <v>300100</v>
      </c>
      <c r="C29" s="360"/>
      <c r="D29" s="360"/>
      <c r="E29" s="360"/>
      <c r="F29" s="360"/>
      <c r="G29" s="361"/>
      <c r="H29" s="360"/>
      <c r="I29" s="360"/>
      <c r="J29" s="360"/>
      <c r="K29" s="360"/>
      <c r="L29" s="360">
        <v>15011639</v>
      </c>
      <c r="M29" s="360"/>
      <c r="N29" s="360"/>
      <c r="O29" s="362">
        <f t="shared" si="0"/>
        <v>15011639</v>
      </c>
    </row>
    <row r="30" spans="1:15" ht="12.75">
      <c r="A30" s="468" t="s">
        <v>154</v>
      </c>
      <c r="B30" s="438">
        <v>300110</v>
      </c>
      <c r="C30" s="360"/>
      <c r="D30" s="360"/>
      <c r="E30" s="360"/>
      <c r="F30" s="360"/>
      <c r="G30" s="361"/>
      <c r="H30" s="360"/>
      <c r="I30" s="360"/>
      <c r="J30" s="360"/>
      <c r="K30" s="360"/>
      <c r="L30" s="360">
        <v>487328</v>
      </c>
      <c r="M30" s="360"/>
      <c r="N30" s="360"/>
      <c r="O30" s="362">
        <f t="shared" si="0"/>
        <v>487328</v>
      </c>
    </row>
    <row r="31" spans="1:15" ht="12.75">
      <c r="A31" s="468" t="s">
        <v>758</v>
      </c>
      <c r="B31" s="438">
        <v>300300</v>
      </c>
      <c r="C31" s="360"/>
      <c r="D31" s="360"/>
      <c r="E31" s="360"/>
      <c r="F31" s="360"/>
      <c r="G31" s="361"/>
      <c r="H31" s="360"/>
      <c r="I31" s="360"/>
      <c r="J31" s="360"/>
      <c r="K31" s="360"/>
      <c r="L31" s="360">
        <v>51881</v>
      </c>
      <c r="M31" s="360"/>
      <c r="N31" s="360"/>
      <c r="O31" s="362">
        <f t="shared" si="0"/>
        <v>51881</v>
      </c>
    </row>
    <row r="32" spans="1:15" ht="22.5">
      <c r="A32" s="468" t="s">
        <v>152</v>
      </c>
      <c r="B32" s="438">
        <v>300310</v>
      </c>
      <c r="C32" s="360"/>
      <c r="D32" s="360"/>
      <c r="E32" s="360"/>
      <c r="F32" s="360"/>
      <c r="G32" s="361"/>
      <c r="H32" s="360"/>
      <c r="I32" s="360"/>
      <c r="J32" s="360"/>
      <c r="K32" s="360"/>
      <c r="L32" s="360">
        <v>1288</v>
      </c>
      <c r="M32" s="360"/>
      <c r="N32" s="360"/>
      <c r="O32" s="362">
        <f t="shared" si="0"/>
        <v>1288</v>
      </c>
    </row>
    <row r="33" spans="1:15" ht="12.75">
      <c r="A33" s="468" t="s">
        <v>171</v>
      </c>
      <c r="B33" s="438">
        <v>300400</v>
      </c>
      <c r="C33" s="360"/>
      <c r="D33" s="360"/>
      <c r="E33" s="360"/>
      <c r="F33" s="360"/>
      <c r="G33" s="361"/>
      <c r="H33" s="360"/>
      <c r="I33" s="360"/>
      <c r="J33" s="360"/>
      <c r="K33" s="360"/>
      <c r="L33" s="360">
        <v>2183140</v>
      </c>
      <c r="M33" s="360"/>
      <c r="N33" s="360"/>
      <c r="O33" s="362">
        <f t="shared" si="0"/>
        <v>2183140</v>
      </c>
    </row>
    <row r="34" spans="1:15" ht="12.75">
      <c r="A34" s="468" t="s">
        <v>786</v>
      </c>
      <c r="B34" s="438">
        <v>300500</v>
      </c>
      <c r="C34" s="360"/>
      <c r="D34" s="360"/>
      <c r="E34" s="360"/>
      <c r="F34" s="360"/>
      <c r="G34" s="361"/>
      <c r="H34" s="360"/>
      <c r="I34" s="360"/>
      <c r="J34" s="360"/>
      <c r="K34" s="360"/>
      <c r="L34" s="360"/>
      <c r="M34" s="360"/>
      <c r="N34" s="360"/>
      <c r="O34" s="362">
        <f t="shared" si="0"/>
        <v>0</v>
      </c>
    </row>
    <row r="35" spans="1:15" ht="12.75">
      <c r="A35" s="468" t="s">
        <v>153</v>
      </c>
      <c r="B35" s="438">
        <v>300510</v>
      </c>
      <c r="C35" s="360"/>
      <c r="D35" s="360"/>
      <c r="E35" s="360"/>
      <c r="F35" s="360"/>
      <c r="G35" s="361"/>
      <c r="H35" s="360"/>
      <c r="I35" s="360"/>
      <c r="J35" s="360"/>
      <c r="K35" s="360"/>
      <c r="L35" s="360"/>
      <c r="M35" s="360"/>
      <c r="N35" s="360"/>
      <c r="O35" s="362">
        <f t="shared" si="0"/>
        <v>0</v>
      </c>
    </row>
    <row r="36" spans="1:15" ht="12.75">
      <c r="A36" s="468" t="s">
        <v>757</v>
      </c>
      <c r="B36" s="438">
        <v>300600</v>
      </c>
      <c r="C36" s="360"/>
      <c r="D36" s="360"/>
      <c r="E36" s="360"/>
      <c r="F36" s="360"/>
      <c r="G36" s="361"/>
      <c r="H36" s="360"/>
      <c r="I36" s="360"/>
      <c r="J36" s="360"/>
      <c r="K36" s="360"/>
      <c r="L36" s="360">
        <v>15219</v>
      </c>
      <c r="M36" s="360"/>
      <c r="N36" s="360"/>
      <c r="O36" s="362">
        <f t="shared" si="0"/>
        <v>15219</v>
      </c>
    </row>
    <row r="37" spans="1:15" ht="12.75">
      <c r="A37" s="468" t="s">
        <v>155</v>
      </c>
      <c r="B37" s="438">
        <v>305100</v>
      </c>
      <c r="C37" s="360"/>
      <c r="D37" s="360"/>
      <c r="E37" s="360"/>
      <c r="F37" s="360"/>
      <c r="G37" s="361"/>
      <c r="H37" s="360"/>
      <c r="I37" s="360"/>
      <c r="J37" s="360"/>
      <c r="K37" s="360"/>
      <c r="L37" s="360">
        <v>895</v>
      </c>
      <c r="M37" s="360"/>
      <c r="N37" s="360"/>
      <c r="O37" s="362">
        <f t="shared" si="0"/>
        <v>895</v>
      </c>
    </row>
    <row r="38" spans="1:15" ht="12.75">
      <c r="A38" s="468" t="s">
        <v>172</v>
      </c>
      <c r="B38" s="438">
        <v>305200</v>
      </c>
      <c r="C38" s="360"/>
      <c r="D38" s="360"/>
      <c r="E38" s="360"/>
      <c r="F38" s="360"/>
      <c r="G38" s="361"/>
      <c r="H38" s="360"/>
      <c r="I38" s="360"/>
      <c r="J38" s="360"/>
      <c r="K38" s="360"/>
      <c r="L38" s="360">
        <v>146368</v>
      </c>
      <c r="M38" s="360"/>
      <c r="N38" s="360"/>
      <c r="O38" s="362">
        <f t="shared" si="0"/>
        <v>146368</v>
      </c>
    </row>
    <row r="39" spans="1:15" ht="12.75">
      <c r="A39" s="468" t="s">
        <v>173</v>
      </c>
      <c r="B39" s="438">
        <v>305500</v>
      </c>
      <c r="C39" s="360"/>
      <c r="D39" s="360"/>
      <c r="E39" s="360"/>
      <c r="F39" s="360"/>
      <c r="G39" s="361"/>
      <c r="H39" s="360"/>
      <c r="I39" s="360"/>
      <c r="J39" s="360"/>
      <c r="K39" s="360"/>
      <c r="L39" s="360">
        <v>77350</v>
      </c>
      <c r="M39" s="360"/>
      <c r="N39" s="360"/>
      <c r="O39" s="362">
        <f t="shared" si="0"/>
        <v>77350</v>
      </c>
    </row>
    <row r="40" spans="1:15" ht="12.75">
      <c r="A40" s="468" t="s">
        <v>817</v>
      </c>
      <c r="B40" s="438">
        <v>305600</v>
      </c>
      <c r="C40" s="360"/>
      <c r="D40" s="360"/>
      <c r="E40" s="360"/>
      <c r="F40" s="360"/>
      <c r="G40" s="361"/>
      <c r="H40" s="360"/>
      <c r="I40" s="360"/>
      <c r="J40" s="360"/>
      <c r="K40" s="360"/>
      <c r="L40" s="360">
        <v>71779</v>
      </c>
      <c r="M40" s="360"/>
      <c r="N40" s="360"/>
      <c r="O40" s="362">
        <f t="shared" si="0"/>
        <v>71779</v>
      </c>
    </row>
    <row r="41" spans="1:15" ht="12.75">
      <c r="A41" s="468" t="s">
        <v>156</v>
      </c>
      <c r="B41" s="438">
        <v>305900</v>
      </c>
      <c r="C41" s="360"/>
      <c r="D41" s="360"/>
      <c r="E41" s="360"/>
      <c r="F41" s="360"/>
      <c r="G41" s="361"/>
      <c r="H41" s="360"/>
      <c r="I41" s="360"/>
      <c r="J41" s="360"/>
      <c r="K41" s="360"/>
      <c r="L41" s="360">
        <v>4751</v>
      </c>
      <c r="M41" s="360"/>
      <c r="N41" s="360"/>
      <c r="O41" s="362">
        <f t="shared" si="0"/>
        <v>4751</v>
      </c>
    </row>
    <row r="42" spans="1:15" ht="12.75">
      <c r="A42" s="468" t="s">
        <v>157</v>
      </c>
      <c r="B42" s="438">
        <v>305700</v>
      </c>
      <c r="C42" s="360"/>
      <c r="D42" s="360"/>
      <c r="E42" s="360"/>
      <c r="F42" s="360"/>
      <c r="G42" s="361"/>
      <c r="H42" s="360"/>
      <c r="I42" s="360"/>
      <c r="J42" s="360"/>
      <c r="K42" s="360"/>
      <c r="L42" s="360">
        <v>769</v>
      </c>
      <c r="M42" s="360"/>
      <c r="N42" s="360"/>
      <c r="O42" s="362">
        <f t="shared" si="0"/>
        <v>769</v>
      </c>
    </row>
    <row r="43" spans="1:15" ht="12.75">
      <c r="A43" s="468" t="s">
        <v>787</v>
      </c>
      <c r="B43" s="438" t="s">
        <v>788</v>
      </c>
      <c r="C43" s="360"/>
      <c r="D43" s="360"/>
      <c r="E43" s="360"/>
      <c r="F43" s="360"/>
      <c r="G43" s="361"/>
      <c r="H43" s="360"/>
      <c r="I43" s="360"/>
      <c r="J43" s="360"/>
      <c r="K43" s="360"/>
      <c r="L43" s="360">
        <v>453</v>
      </c>
      <c r="M43" s="360"/>
      <c r="N43" s="360"/>
      <c r="O43" s="362">
        <f t="shared" si="0"/>
        <v>453</v>
      </c>
    </row>
    <row r="44" spans="1:15" ht="12.75">
      <c r="A44" s="468" t="s">
        <v>158</v>
      </c>
      <c r="B44" s="438" t="s">
        <v>159</v>
      </c>
      <c r="C44" s="360"/>
      <c r="D44" s="360"/>
      <c r="E44" s="360"/>
      <c r="F44" s="360"/>
      <c r="G44" s="361"/>
      <c r="H44" s="360"/>
      <c r="I44" s="360"/>
      <c r="J44" s="360"/>
      <c r="K44" s="360"/>
      <c r="L44" s="360">
        <v>1079</v>
      </c>
      <c r="M44" s="360"/>
      <c r="N44" s="360"/>
      <c r="O44" s="362">
        <f t="shared" si="0"/>
        <v>1079</v>
      </c>
    </row>
    <row r="45" spans="1:15" ht="12.75">
      <c r="A45" s="468" t="s">
        <v>837</v>
      </c>
      <c r="B45" s="438">
        <v>305900</v>
      </c>
      <c r="C45" s="360"/>
      <c r="D45" s="360"/>
      <c r="E45" s="360"/>
      <c r="F45" s="360"/>
      <c r="G45" s="361"/>
      <c r="H45" s="360"/>
      <c r="I45" s="360"/>
      <c r="J45" s="360"/>
      <c r="K45" s="360"/>
      <c r="L45" s="360"/>
      <c r="M45" s="360"/>
      <c r="N45" s="360"/>
      <c r="O45" s="362">
        <f t="shared" si="0"/>
        <v>0</v>
      </c>
    </row>
    <row r="46" spans="1:15" ht="12.75">
      <c r="A46" s="359" t="s">
        <v>216</v>
      </c>
      <c r="B46" s="438">
        <v>315300</v>
      </c>
      <c r="C46" s="360"/>
      <c r="D46" s="360"/>
      <c r="E46" s="360"/>
      <c r="F46" s="360"/>
      <c r="G46" s="361"/>
      <c r="H46" s="360"/>
      <c r="I46" s="360"/>
      <c r="J46" s="360">
        <v>17476</v>
      </c>
      <c r="K46" s="360"/>
      <c r="L46" s="360"/>
      <c r="M46" s="360"/>
      <c r="N46" s="360"/>
      <c r="O46" s="362">
        <f t="shared" si="0"/>
        <v>17476</v>
      </c>
    </row>
    <row r="47" spans="1:15" ht="22.5">
      <c r="A47" s="359" t="s">
        <v>161</v>
      </c>
      <c r="B47" s="439" t="s">
        <v>160</v>
      </c>
      <c r="C47" s="360"/>
      <c r="D47" s="360"/>
      <c r="E47" s="360"/>
      <c r="F47" s="360"/>
      <c r="G47" s="361"/>
      <c r="H47" s="360"/>
      <c r="I47" s="360"/>
      <c r="J47" s="360">
        <f>70020.39+21934.52+3968.28+126.7+101.01+1192.97+13552.36</f>
        <v>110896.23</v>
      </c>
      <c r="K47" s="360"/>
      <c r="L47" s="360"/>
      <c r="M47" s="360"/>
      <c r="N47" s="360"/>
      <c r="O47" s="362">
        <f t="shared" si="0"/>
        <v>110896.23</v>
      </c>
    </row>
    <row r="48" spans="1:15" ht="12.75">
      <c r="A48" s="359" t="s">
        <v>108</v>
      </c>
      <c r="B48" s="437" t="s">
        <v>109</v>
      </c>
      <c r="C48" s="360"/>
      <c r="D48" s="360"/>
      <c r="E48" s="360"/>
      <c r="F48" s="360"/>
      <c r="G48" s="361"/>
      <c r="H48" s="360"/>
      <c r="I48" s="360"/>
      <c r="J48" s="360">
        <v>7460</v>
      </c>
      <c r="K48" s="360"/>
      <c r="L48" s="360"/>
      <c r="M48" s="360"/>
      <c r="N48" s="360"/>
      <c r="O48" s="362"/>
    </row>
    <row r="49" spans="1:15" ht="12.75">
      <c r="A49" s="359" t="s">
        <v>218</v>
      </c>
      <c r="B49" s="438">
        <v>450350</v>
      </c>
      <c r="C49" s="360"/>
      <c r="D49" s="360"/>
      <c r="E49" s="360"/>
      <c r="F49" s="360"/>
      <c r="G49" s="361"/>
      <c r="H49" s="360"/>
      <c r="I49" s="360"/>
      <c r="J49" s="360"/>
      <c r="K49" s="360"/>
      <c r="L49" s="360"/>
      <c r="M49" s="360"/>
      <c r="N49" s="360"/>
      <c r="O49" s="362">
        <f t="shared" si="0"/>
        <v>0</v>
      </c>
    </row>
    <row r="50" spans="1:15" ht="12.75">
      <c r="A50" s="359" t="s">
        <v>820</v>
      </c>
      <c r="B50" s="438" t="s">
        <v>819</v>
      </c>
      <c r="C50" s="360">
        <v>218</v>
      </c>
      <c r="D50" s="360">
        <v>-10363</v>
      </c>
      <c r="E50" s="360"/>
      <c r="F50" s="360"/>
      <c r="G50" s="361"/>
      <c r="H50" s="360"/>
      <c r="I50" s="360"/>
      <c r="J50" s="360"/>
      <c r="K50" s="360"/>
      <c r="L50" s="360"/>
      <c r="M50" s="360">
        <v>867</v>
      </c>
      <c r="N50" s="360"/>
      <c r="O50" s="362">
        <f t="shared" si="0"/>
        <v>-9278</v>
      </c>
    </row>
    <row r="51" spans="1:15" ht="22.5">
      <c r="A51" s="359" t="s">
        <v>192</v>
      </c>
      <c r="B51" s="437" t="s">
        <v>219</v>
      </c>
      <c r="C51" s="360"/>
      <c r="D51" s="360"/>
      <c r="E51" s="360"/>
      <c r="F51" s="360"/>
      <c r="G51" s="361"/>
      <c r="H51" s="360"/>
      <c r="I51" s="360"/>
      <c r="J51" s="360"/>
      <c r="K51" s="360"/>
      <c r="L51" s="360"/>
      <c r="M51" s="360"/>
      <c r="N51" s="360"/>
      <c r="O51" s="362">
        <f t="shared" si="0"/>
        <v>0</v>
      </c>
    </row>
    <row r="52" spans="1:15" ht="12.75">
      <c r="A52" s="359" t="s">
        <v>789</v>
      </c>
      <c r="B52" s="437" t="s">
        <v>790</v>
      </c>
      <c r="C52" s="360"/>
      <c r="D52" s="360"/>
      <c r="E52" s="360"/>
      <c r="F52" s="360"/>
      <c r="G52" s="361"/>
      <c r="H52" s="360"/>
      <c r="I52" s="360"/>
      <c r="J52" s="360">
        <v>388</v>
      </c>
      <c r="K52" s="360"/>
      <c r="L52" s="360"/>
      <c r="M52" s="360"/>
      <c r="N52" s="360"/>
      <c r="O52" s="362">
        <f t="shared" si="0"/>
        <v>388</v>
      </c>
    </row>
    <row r="53" spans="1:15" ht="12.75">
      <c r="A53" s="359" t="s">
        <v>814</v>
      </c>
      <c r="B53" s="438" t="s">
        <v>756</v>
      </c>
      <c r="C53" s="360"/>
      <c r="D53" s="360"/>
      <c r="E53" s="360"/>
      <c r="F53" s="360"/>
      <c r="G53" s="361"/>
      <c r="H53" s="360"/>
      <c r="I53" s="360"/>
      <c r="J53" s="360"/>
      <c r="K53" s="360"/>
      <c r="L53" s="360"/>
      <c r="M53" s="360"/>
      <c r="N53" s="360"/>
      <c r="O53" s="362">
        <f t="shared" si="0"/>
        <v>0</v>
      </c>
    </row>
    <row r="54" spans="1:15" ht="12.75">
      <c r="A54" s="359" t="s">
        <v>815</v>
      </c>
      <c r="B54" s="438">
        <v>460300</v>
      </c>
      <c r="C54" s="360"/>
      <c r="D54" s="360"/>
      <c r="E54" s="360"/>
      <c r="F54" s="360"/>
      <c r="G54" s="361"/>
      <c r="H54" s="360"/>
      <c r="I54" s="360"/>
      <c r="J54" s="360"/>
      <c r="K54" s="360"/>
      <c r="L54" s="360"/>
      <c r="M54" s="360"/>
      <c r="N54" s="360"/>
      <c r="O54" s="362">
        <f t="shared" si="0"/>
        <v>0</v>
      </c>
    </row>
    <row r="55" spans="1:15" ht="12.75">
      <c r="A55" s="359" t="s">
        <v>214</v>
      </c>
      <c r="B55" s="438">
        <v>450750</v>
      </c>
      <c r="C55" s="360"/>
      <c r="D55" s="360"/>
      <c r="E55" s="360"/>
      <c r="F55" s="360"/>
      <c r="G55" s="361">
        <v>400</v>
      </c>
      <c r="H55" s="360"/>
      <c r="I55" s="360"/>
      <c r="J55" s="360"/>
      <c r="K55" s="360">
        <v>700</v>
      </c>
      <c r="L55" s="360"/>
      <c r="M55" s="360"/>
      <c r="N55" s="360"/>
      <c r="O55" s="362">
        <f t="shared" si="0"/>
        <v>1100</v>
      </c>
    </row>
    <row r="56" spans="1:15" ht="12.75">
      <c r="A56" s="359" t="s">
        <v>791</v>
      </c>
      <c r="B56" s="438">
        <v>465200</v>
      </c>
      <c r="C56" s="360"/>
      <c r="D56" s="360"/>
      <c r="E56" s="360"/>
      <c r="F56" s="360"/>
      <c r="G56" s="361"/>
      <c r="H56" s="360"/>
      <c r="I56" s="360"/>
      <c r="J56" s="360"/>
      <c r="K56" s="360"/>
      <c r="L56" s="360"/>
      <c r="M56" s="360"/>
      <c r="N56" s="360"/>
      <c r="O56" s="362">
        <f t="shared" si="0"/>
        <v>0</v>
      </c>
    </row>
    <row r="57" spans="1:15" ht="12.75">
      <c r="A57" s="359" t="s">
        <v>792</v>
      </c>
      <c r="B57" s="438">
        <v>465210</v>
      </c>
      <c r="C57" s="360"/>
      <c r="D57" s="360"/>
      <c r="E57" s="360"/>
      <c r="F57" s="360"/>
      <c r="G57" s="361"/>
      <c r="H57" s="360"/>
      <c r="I57" s="360"/>
      <c r="J57" s="360"/>
      <c r="K57" s="360"/>
      <c r="L57" s="360"/>
      <c r="M57" s="360"/>
      <c r="N57" s="360"/>
      <c r="O57" s="362">
        <f t="shared" si="0"/>
        <v>0</v>
      </c>
    </row>
    <row r="58" spans="1:15" ht="12.75">
      <c r="A58" s="359" t="s">
        <v>110</v>
      </c>
      <c r="B58" s="438" t="s">
        <v>111</v>
      </c>
      <c r="C58" s="360"/>
      <c r="D58" s="360"/>
      <c r="E58" s="360"/>
      <c r="F58" s="360">
        <v>-1110</v>
      </c>
      <c r="G58" s="361"/>
      <c r="H58" s="360"/>
      <c r="I58" s="360"/>
      <c r="J58" s="360"/>
      <c r="K58" s="360"/>
      <c r="L58" s="360">
        <v>-63167</v>
      </c>
      <c r="M58" s="360"/>
      <c r="N58" s="360"/>
      <c r="O58" s="362"/>
    </row>
    <row r="59" spans="1:15" ht="12.75">
      <c r="A59" s="359" t="s">
        <v>215</v>
      </c>
      <c r="B59" s="438">
        <v>465300</v>
      </c>
      <c r="C59" s="360">
        <v>2</v>
      </c>
      <c r="D59" s="360">
        <v>4</v>
      </c>
      <c r="E59" s="360">
        <v>10</v>
      </c>
      <c r="F59" s="360">
        <v>30</v>
      </c>
      <c r="G59" s="361">
        <v>6</v>
      </c>
      <c r="H59" s="360"/>
      <c r="I59" s="360">
        <v>22</v>
      </c>
      <c r="J59" s="360">
        <v>36</v>
      </c>
      <c r="K59" s="360">
        <v>18</v>
      </c>
      <c r="L59" s="360">
        <v>2</v>
      </c>
      <c r="M59" s="360">
        <v>30</v>
      </c>
      <c r="N59" s="360">
        <v>10</v>
      </c>
      <c r="O59" s="362">
        <f t="shared" si="0"/>
        <v>170</v>
      </c>
    </row>
    <row r="60" spans="1:15" ht="12.75">
      <c r="A60" s="359" t="s">
        <v>793</v>
      </c>
      <c r="B60" s="438">
        <v>465350</v>
      </c>
      <c r="C60" s="360"/>
      <c r="D60" s="360"/>
      <c r="E60" s="360"/>
      <c r="F60" s="360"/>
      <c r="G60" s="361"/>
      <c r="H60" s="360"/>
      <c r="I60" s="360"/>
      <c r="J60" s="360"/>
      <c r="K60" s="360"/>
      <c r="L60" s="360"/>
      <c r="M60" s="360"/>
      <c r="N60" s="360"/>
      <c r="O60" s="362">
        <f t="shared" si="0"/>
        <v>0</v>
      </c>
    </row>
    <row r="61" spans="1:15" ht="12.75">
      <c r="A61" s="359" t="s">
        <v>794</v>
      </c>
      <c r="B61" s="438">
        <v>465900</v>
      </c>
      <c r="C61" s="360"/>
      <c r="D61" s="360"/>
      <c r="E61" s="360"/>
      <c r="F61" s="360"/>
      <c r="G61" s="361"/>
      <c r="H61" s="360"/>
      <c r="I61" s="360"/>
      <c r="J61" s="360"/>
      <c r="K61" s="360"/>
      <c r="L61" s="360"/>
      <c r="M61" s="360"/>
      <c r="N61" s="360"/>
      <c r="O61" s="362">
        <f t="shared" si="0"/>
        <v>0</v>
      </c>
    </row>
    <row r="62" spans="1:15" ht="12.75">
      <c r="A62" s="359" t="s">
        <v>16</v>
      </c>
      <c r="B62" s="438" t="s">
        <v>17</v>
      </c>
      <c r="C62" s="360"/>
      <c r="D62" s="360"/>
      <c r="E62" s="360"/>
      <c r="F62" s="360"/>
      <c r="G62" s="361"/>
      <c r="H62" s="360"/>
      <c r="I62" s="360"/>
      <c r="J62" s="360">
        <v>17647</v>
      </c>
      <c r="K62" s="360"/>
      <c r="L62" s="360"/>
      <c r="M62" s="360"/>
      <c r="N62" s="360"/>
      <c r="O62" s="362">
        <f t="shared" si="0"/>
        <v>17647</v>
      </c>
    </row>
    <row r="63" spans="1:15" ht="12.75">
      <c r="A63" s="359" t="s">
        <v>217</v>
      </c>
      <c r="B63" s="438">
        <v>350600</v>
      </c>
      <c r="C63" s="360"/>
      <c r="D63" s="360"/>
      <c r="E63" s="360"/>
      <c r="F63" s="360"/>
      <c r="G63" s="361"/>
      <c r="H63" s="360"/>
      <c r="I63" s="360"/>
      <c r="J63" s="360"/>
      <c r="K63" s="360"/>
      <c r="L63" s="360">
        <v>375697</v>
      </c>
      <c r="M63" s="360"/>
      <c r="N63" s="360"/>
      <c r="O63" s="362">
        <f t="shared" si="0"/>
        <v>375697</v>
      </c>
    </row>
    <row r="64" spans="1:15" ht="12.75">
      <c r="A64" s="469" t="s">
        <v>795</v>
      </c>
      <c r="B64" s="470">
        <v>350800</v>
      </c>
      <c r="C64" s="385"/>
      <c r="D64" s="385"/>
      <c r="E64" s="385"/>
      <c r="F64" s="385"/>
      <c r="G64" s="451"/>
      <c r="H64" s="385"/>
      <c r="I64" s="385"/>
      <c r="J64" s="385">
        <v>628333</v>
      </c>
      <c r="K64" s="385"/>
      <c r="L64" s="385"/>
      <c r="M64" s="385"/>
      <c r="N64" s="385"/>
      <c r="O64" s="362">
        <f t="shared" si="0"/>
        <v>628333</v>
      </c>
    </row>
    <row r="65" spans="1:15" ht="13.5" thickBot="1">
      <c r="A65" s="471" t="s">
        <v>405</v>
      </c>
      <c r="B65" s="472"/>
      <c r="C65" s="386">
        <f aca="true" t="shared" si="1" ref="C65:N65">SUM(C6:C64)</f>
        <v>5090</v>
      </c>
      <c r="D65" s="386">
        <f t="shared" si="1"/>
        <v>397220</v>
      </c>
      <c r="E65" s="386">
        <f t="shared" si="1"/>
        <v>414830</v>
      </c>
      <c r="F65" s="386">
        <f t="shared" si="1"/>
        <v>3290355</v>
      </c>
      <c r="G65" s="386">
        <f t="shared" si="1"/>
        <v>685290</v>
      </c>
      <c r="H65" s="386">
        <f t="shared" si="1"/>
        <v>0</v>
      </c>
      <c r="I65" s="386">
        <f t="shared" si="1"/>
        <v>2885449</v>
      </c>
      <c r="J65" s="386">
        <f t="shared" si="1"/>
        <v>137481585.23</v>
      </c>
      <c r="K65" s="386">
        <f t="shared" si="1"/>
        <v>13084690</v>
      </c>
      <c r="L65" s="386">
        <f t="shared" si="1"/>
        <v>18739494</v>
      </c>
      <c r="M65" s="386">
        <f t="shared" si="1"/>
        <v>16313880</v>
      </c>
      <c r="N65" s="386">
        <f t="shared" si="1"/>
        <v>1452331</v>
      </c>
      <c r="O65" s="637">
        <f>SUM(C65:N65)</f>
        <v>194750214.23</v>
      </c>
    </row>
    <row r="67" ht="12.75">
      <c r="B67" s="476"/>
    </row>
    <row r="68" spans="2:13" ht="12.75">
      <c r="B68" s="476"/>
      <c r="J68" s="416"/>
      <c r="M68" s="416"/>
    </row>
    <row r="69" spans="2:13" ht="12.75">
      <c r="B69" s="476"/>
      <c r="M69" s="416"/>
    </row>
    <row r="70" spans="2:13" ht="12.75">
      <c r="B70" s="476"/>
      <c r="J70" s="416"/>
      <c r="M70" s="416"/>
    </row>
    <row r="71" ht="12.75">
      <c r="B71" s="476"/>
    </row>
    <row r="72" spans="2:15" ht="12.75">
      <c r="B72" s="476"/>
      <c r="O72" s="448"/>
    </row>
    <row r="73" ht="12.75">
      <c r="B73" s="476"/>
    </row>
    <row r="74" ht="12.75">
      <c r="B74" s="476"/>
    </row>
    <row r="75" ht="12.75">
      <c r="B75" s="476"/>
    </row>
    <row r="76" ht="12.75">
      <c r="B76" s="476"/>
    </row>
    <row r="77" ht="12.75">
      <c r="B77" s="476"/>
    </row>
    <row r="82" ht="12.75">
      <c r="L82" s="383">
        <v>42775.65</v>
      </c>
    </row>
    <row r="83" ht="12.75">
      <c r="L83" s="383">
        <v>2331.35</v>
      </c>
    </row>
    <row r="84" ht="12.75">
      <c r="L84" s="383">
        <f>SUM(L82:L83)</f>
        <v>45107</v>
      </c>
    </row>
    <row r="85" ht="12.75">
      <c r="L85" s="383">
        <v>45199</v>
      </c>
    </row>
    <row r="86" ht="12.75">
      <c r="L86" s="383">
        <f>+L85-L84</f>
        <v>92</v>
      </c>
    </row>
    <row r="87" ht="12.75">
      <c r="L87" s="383">
        <v>74</v>
      </c>
    </row>
    <row r="88" spans="1:15" s="474" customFormat="1" ht="12.75">
      <c r="A88" s="381"/>
      <c r="B88" s="473"/>
      <c r="C88" s="383"/>
      <c r="D88" s="383"/>
      <c r="E88" s="383"/>
      <c r="F88" s="383"/>
      <c r="G88" s="383"/>
      <c r="H88" s="383"/>
      <c r="I88" s="383"/>
      <c r="J88" s="383"/>
      <c r="K88" s="383"/>
      <c r="L88" s="383">
        <f>+L86-L87</f>
        <v>18</v>
      </c>
      <c r="M88" s="383"/>
      <c r="N88" s="383"/>
      <c r="O88" s="383"/>
    </row>
    <row r="90" spans="1:15" s="475" customFormat="1" ht="12.75">
      <c r="A90" s="381"/>
      <c r="B90" s="473"/>
      <c r="C90" s="383"/>
      <c r="D90" s="383"/>
      <c r="E90" s="383"/>
      <c r="F90" s="383"/>
      <c r="G90" s="383"/>
      <c r="H90" s="383"/>
      <c r="I90" s="383"/>
      <c r="J90" s="383"/>
      <c r="K90" s="383"/>
      <c r="L90" s="383"/>
      <c r="M90" s="383"/>
      <c r="N90" s="383"/>
      <c r="O90" s="383"/>
    </row>
    <row r="91" spans="1:15" s="475" customFormat="1" ht="12.75">
      <c r="A91" s="381"/>
      <c r="B91" s="47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83"/>
      <c r="N91" s="383"/>
      <c r="O91" s="383"/>
    </row>
    <row r="92" spans="1:15" s="475" customFormat="1" ht="12.75">
      <c r="A92" s="381"/>
      <c r="B92" s="473"/>
      <c r="C92" s="383"/>
      <c r="D92" s="383"/>
      <c r="E92" s="383"/>
      <c r="F92" s="383"/>
      <c r="G92" s="383"/>
      <c r="H92" s="383"/>
      <c r="I92" s="383"/>
      <c r="J92" s="383"/>
      <c r="K92" s="383"/>
      <c r="L92" s="383"/>
      <c r="M92" s="383"/>
      <c r="N92" s="383"/>
      <c r="O92" s="383"/>
    </row>
    <row r="93" spans="1:15" s="475" customFormat="1" ht="12.75">
      <c r="A93" s="381"/>
      <c r="B93" s="473"/>
      <c r="C93" s="383"/>
      <c r="D93" s="383"/>
      <c r="E93" s="383"/>
      <c r="F93" s="383"/>
      <c r="G93" s="383"/>
      <c r="H93" s="383"/>
      <c r="I93" s="383"/>
      <c r="J93" s="383"/>
      <c r="K93" s="383"/>
      <c r="L93" s="383"/>
      <c r="M93" s="383"/>
      <c r="N93" s="383"/>
      <c r="O93" s="383"/>
    </row>
    <row r="94" spans="1:15" s="475" customFormat="1" ht="12.75">
      <c r="A94" s="381"/>
      <c r="B94" s="473"/>
      <c r="C94" s="383"/>
      <c r="D94" s="383"/>
      <c r="E94" s="383"/>
      <c r="F94" s="383"/>
      <c r="G94" s="383"/>
      <c r="H94" s="383"/>
      <c r="I94" s="383"/>
      <c r="J94" s="383"/>
      <c r="K94" s="383"/>
      <c r="L94" s="383"/>
      <c r="M94" s="383"/>
      <c r="N94" s="383"/>
      <c r="O94" s="383"/>
    </row>
    <row r="95" spans="1:15" s="475" customFormat="1" ht="12.75">
      <c r="A95" s="381"/>
      <c r="B95" s="473"/>
      <c r="C95" s="383"/>
      <c r="D95" s="383"/>
      <c r="E95" s="383"/>
      <c r="F95" s="383"/>
      <c r="G95" s="383"/>
      <c r="H95" s="383"/>
      <c r="I95" s="383"/>
      <c r="J95" s="383"/>
      <c r="K95" s="383"/>
      <c r="L95" s="383"/>
      <c r="M95" s="383"/>
      <c r="N95" s="383"/>
      <c r="O95" s="383"/>
    </row>
    <row r="96" spans="1:15" s="475" customFormat="1" ht="12.75">
      <c r="A96" s="381"/>
      <c r="B96" s="473"/>
      <c r="C96" s="383"/>
      <c r="D96" s="383"/>
      <c r="E96" s="383"/>
      <c r="F96" s="383"/>
      <c r="G96" s="383"/>
      <c r="H96" s="383"/>
      <c r="I96" s="383"/>
      <c r="J96" s="383"/>
      <c r="K96" s="383"/>
      <c r="L96" s="383"/>
      <c r="M96" s="383"/>
      <c r="N96" s="383"/>
      <c r="O96" s="383"/>
    </row>
    <row r="97" spans="1:15" s="475" customFormat="1" ht="12.75">
      <c r="A97" s="381"/>
      <c r="B97" s="473"/>
      <c r="C97" s="383"/>
      <c r="D97" s="383"/>
      <c r="E97" s="383"/>
      <c r="F97" s="383"/>
      <c r="G97" s="383"/>
      <c r="H97" s="383"/>
      <c r="I97" s="383"/>
      <c r="J97" s="383"/>
      <c r="K97" s="383"/>
      <c r="L97" s="383"/>
      <c r="M97" s="383"/>
      <c r="N97" s="383"/>
      <c r="O97" s="383"/>
    </row>
    <row r="98" spans="1:15" s="475" customFormat="1" ht="12.75">
      <c r="A98" s="381"/>
      <c r="B98" s="473"/>
      <c r="C98" s="383"/>
      <c r="D98" s="383"/>
      <c r="E98" s="383"/>
      <c r="F98" s="383"/>
      <c r="G98" s="383"/>
      <c r="H98" s="383"/>
      <c r="I98" s="383"/>
      <c r="J98" s="383"/>
      <c r="K98" s="383"/>
      <c r="L98" s="383"/>
      <c r="M98" s="383"/>
      <c r="N98" s="383"/>
      <c r="O98" s="383"/>
    </row>
    <row r="99" spans="1:15" s="475" customFormat="1" ht="12.75">
      <c r="A99" s="381"/>
      <c r="B99" s="473"/>
      <c r="C99" s="383"/>
      <c r="D99" s="383"/>
      <c r="E99" s="383"/>
      <c r="F99" s="383"/>
      <c r="G99" s="383"/>
      <c r="H99" s="383"/>
      <c r="I99" s="383"/>
      <c r="J99" s="383"/>
      <c r="K99" s="383"/>
      <c r="L99" s="383"/>
      <c r="M99" s="383"/>
      <c r="N99" s="383"/>
      <c r="O99" s="383"/>
    </row>
    <row r="100" spans="1:15" s="475" customFormat="1" ht="12.75">
      <c r="A100" s="381"/>
      <c r="B100" s="473"/>
      <c r="C100" s="383"/>
      <c r="D100" s="383"/>
      <c r="E100" s="383"/>
      <c r="F100" s="383"/>
      <c r="G100" s="383"/>
      <c r="H100" s="383"/>
      <c r="I100" s="383"/>
      <c r="J100" s="383"/>
      <c r="K100" s="383"/>
      <c r="L100" s="383"/>
      <c r="M100" s="383"/>
      <c r="N100" s="383"/>
      <c r="O100" s="383"/>
    </row>
    <row r="101" spans="1:15" s="475" customFormat="1" ht="12.75">
      <c r="A101" s="381"/>
      <c r="B101" s="47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83"/>
      <c r="N101" s="383"/>
      <c r="O101" s="383"/>
    </row>
    <row r="102" spans="1:15" s="475" customFormat="1" ht="12.75">
      <c r="A102" s="381"/>
      <c r="B102" s="473"/>
      <c r="C102" s="383"/>
      <c r="D102" s="383"/>
      <c r="E102" s="383"/>
      <c r="F102" s="383"/>
      <c r="G102" s="383"/>
      <c r="H102" s="383"/>
      <c r="I102" s="383"/>
      <c r="J102" s="383"/>
      <c r="K102" s="383"/>
      <c r="L102" s="383"/>
      <c r="M102" s="383"/>
      <c r="N102" s="383"/>
      <c r="O102" s="383"/>
    </row>
    <row r="103" spans="1:15" s="475" customFormat="1" ht="12.75">
      <c r="A103" s="381"/>
      <c r="B103" s="473"/>
      <c r="C103" s="383"/>
      <c r="D103" s="383"/>
      <c r="E103" s="383"/>
      <c r="F103" s="383"/>
      <c r="G103" s="383"/>
      <c r="H103" s="383"/>
      <c r="I103" s="383"/>
      <c r="J103" s="383"/>
      <c r="K103" s="383"/>
      <c r="L103" s="383"/>
      <c r="M103" s="383"/>
      <c r="N103" s="383"/>
      <c r="O103" s="383"/>
    </row>
    <row r="104" spans="1:15" s="475" customFormat="1" ht="12.75">
      <c r="A104" s="381"/>
      <c r="B104" s="473"/>
      <c r="C104" s="383"/>
      <c r="D104" s="383"/>
      <c r="E104" s="383"/>
      <c r="F104" s="383"/>
      <c r="G104" s="383"/>
      <c r="H104" s="383"/>
      <c r="I104" s="383"/>
      <c r="J104" s="383"/>
      <c r="K104" s="383"/>
      <c r="L104" s="383"/>
      <c r="M104" s="383"/>
      <c r="N104" s="383"/>
      <c r="O104" s="383"/>
    </row>
    <row r="105" spans="1:15" s="475" customFormat="1" ht="12.75">
      <c r="A105" s="381"/>
      <c r="B105" s="473"/>
      <c r="C105" s="383"/>
      <c r="D105" s="383"/>
      <c r="E105" s="383"/>
      <c r="F105" s="383"/>
      <c r="G105" s="383"/>
      <c r="H105" s="383"/>
      <c r="I105" s="383"/>
      <c r="J105" s="383"/>
      <c r="K105" s="383"/>
      <c r="L105" s="383"/>
      <c r="M105" s="383"/>
      <c r="N105" s="383"/>
      <c r="O105" s="383"/>
    </row>
    <row r="106" spans="1:15" s="475" customFormat="1" ht="12.75">
      <c r="A106" s="381"/>
      <c r="B106" s="473"/>
      <c r="C106" s="383"/>
      <c r="D106" s="383"/>
      <c r="E106" s="383"/>
      <c r="F106" s="383"/>
      <c r="G106" s="383"/>
      <c r="H106" s="383"/>
      <c r="I106" s="383"/>
      <c r="J106" s="383"/>
      <c r="K106" s="383"/>
      <c r="L106" s="383"/>
      <c r="M106" s="383"/>
      <c r="N106" s="383"/>
      <c r="O106" s="383"/>
    </row>
    <row r="107" spans="1:15" s="475" customFormat="1" ht="12.75">
      <c r="A107" s="381"/>
      <c r="B107" s="473"/>
      <c r="C107" s="383"/>
      <c r="D107" s="383"/>
      <c r="E107" s="383"/>
      <c r="F107" s="383"/>
      <c r="G107" s="383"/>
      <c r="H107" s="383"/>
      <c r="I107" s="383"/>
      <c r="J107" s="383"/>
      <c r="K107" s="383"/>
      <c r="L107" s="383"/>
      <c r="M107" s="383"/>
      <c r="N107" s="383"/>
      <c r="O107" s="383"/>
    </row>
    <row r="108" spans="1:15" s="475" customFormat="1" ht="12.75">
      <c r="A108" s="381"/>
      <c r="B108" s="473"/>
      <c r="C108" s="383"/>
      <c r="D108" s="383"/>
      <c r="E108" s="383"/>
      <c r="F108" s="383"/>
      <c r="G108" s="383"/>
      <c r="H108" s="383"/>
      <c r="I108" s="383"/>
      <c r="J108" s="383"/>
      <c r="K108" s="383"/>
      <c r="L108" s="383"/>
      <c r="M108" s="383"/>
      <c r="N108" s="383"/>
      <c r="O108" s="383"/>
    </row>
  </sheetData>
  <printOptions/>
  <pageMargins left="0.2" right="0.2" top="0.64" bottom="1" header="0.17" footer="0.5"/>
  <pageSetup horizontalDpi="600" verticalDpi="600" orientation="portrait" paperSize="8" r:id="rId1"/>
  <headerFooter alignWithMargins="0">
    <oddHeader>&amp;CTabella N.I. 12-b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V1195"/>
  <sheetViews>
    <sheetView showGridLines="0" workbookViewId="0" topLeftCell="A33">
      <selection activeCell="A1" sqref="A1:C59"/>
    </sheetView>
  </sheetViews>
  <sheetFormatPr defaultColWidth="9.140625" defaultRowHeight="12.75"/>
  <cols>
    <col min="1" max="1" width="67.8515625" style="1" customWidth="1"/>
    <col min="2" max="2" width="16.421875" style="292" customWidth="1"/>
    <col min="3" max="3" width="16.421875" style="354" customWidth="1"/>
    <col min="4" max="4" width="19.00390625" style="1" customWidth="1"/>
    <col min="5" max="5" width="12.8515625" style="1" bestFit="1" customWidth="1"/>
    <col min="6" max="6" width="11.00390625" style="1" customWidth="1"/>
    <col min="7" max="10" width="9.140625" style="1" customWidth="1"/>
    <col min="11" max="11" width="9.421875" style="1" customWidth="1"/>
    <col min="12" max="12" width="9.140625" style="1" customWidth="1"/>
    <col min="13" max="13" width="11.28125" style="1" customWidth="1"/>
    <col min="14" max="16384" width="9.140625" style="1" customWidth="1"/>
  </cols>
  <sheetData>
    <row r="1" ht="15" thickBot="1">
      <c r="A1" s="275" t="s">
        <v>112</v>
      </c>
    </row>
    <row r="2" spans="1:3" ht="18.75" customHeight="1">
      <c r="A2" s="786" t="s">
        <v>406</v>
      </c>
      <c r="B2" s="787"/>
      <c r="C2" s="788"/>
    </row>
    <row r="3" spans="1:3" s="26" customFormat="1" ht="29.25" customHeight="1">
      <c r="A3" s="220" t="s">
        <v>229</v>
      </c>
      <c r="B3" s="294" t="s">
        <v>368</v>
      </c>
      <c r="C3" s="294" t="s">
        <v>24</v>
      </c>
    </row>
    <row r="4" spans="1:5" ht="12.75">
      <c r="A4" s="53" t="s">
        <v>407</v>
      </c>
      <c r="B4" s="296"/>
      <c r="C4" s="296"/>
      <c r="D4"/>
      <c r="E4"/>
    </row>
    <row r="5" spans="1:6" ht="12.75">
      <c r="A5" s="52" t="s">
        <v>408</v>
      </c>
      <c r="B5" s="527">
        <v>407069585.00000006</v>
      </c>
      <c r="C5" s="527">
        <v>395423412</v>
      </c>
      <c r="D5" s="84"/>
      <c r="E5"/>
      <c r="F5" s="214"/>
    </row>
    <row r="6" spans="1:6" ht="12.75">
      <c r="A6" s="52" t="s">
        <v>25</v>
      </c>
      <c r="B6" s="527">
        <v>729246</v>
      </c>
      <c r="C6" s="527">
        <v>1858724</v>
      </c>
      <c r="D6" s="84"/>
      <c r="E6"/>
      <c r="F6" s="214"/>
    </row>
    <row r="7" spans="1:6" ht="12.75">
      <c r="A7" s="52" t="s">
        <v>445</v>
      </c>
      <c r="B7" s="296"/>
      <c r="C7" s="296"/>
      <c r="D7" s="84"/>
      <c r="E7"/>
      <c r="F7" s="214"/>
    </row>
    <row r="8" spans="1:6" ht="12.75">
      <c r="A8" s="52" t="s">
        <v>409</v>
      </c>
      <c r="B8" s="296"/>
      <c r="C8" s="296"/>
      <c r="D8" s="84"/>
      <c r="E8"/>
      <c r="F8" s="214"/>
    </row>
    <row r="9" spans="1:6" ht="12.75">
      <c r="A9" s="52" t="s">
        <v>410</v>
      </c>
      <c r="B9" s="296"/>
      <c r="C9" s="296"/>
      <c r="D9" s="84"/>
      <c r="E9"/>
      <c r="F9" s="214"/>
    </row>
    <row r="10" spans="1:6" s="569" customFormat="1" ht="12.75">
      <c r="A10" s="564" t="s">
        <v>411</v>
      </c>
      <c r="B10" s="565"/>
      <c r="C10" s="565"/>
      <c r="D10" s="566"/>
      <c r="E10" s="567"/>
      <c r="F10" s="568"/>
    </row>
    <row r="11" spans="1:6" ht="12.75">
      <c r="A11" s="52"/>
      <c r="B11" s="296"/>
      <c r="C11" s="296"/>
      <c r="D11" s="84"/>
      <c r="E11"/>
      <c r="F11" s="214"/>
    </row>
    <row r="12" spans="1:6" ht="12.75">
      <c r="A12" s="52" t="s">
        <v>183</v>
      </c>
      <c r="B12" s="296"/>
      <c r="C12" s="296"/>
      <c r="D12" s="84"/>
      <c r="E12"/>
      <c r="F12" s="214"/>
    </row>
    <row r="13" spans="1:6" ht="12.75">
      <c r="A13" s="52" t="s">
        <v>712</v>
      </c>
      <c r="B13" s="296">
        <v>108828</v>
      </c>
      <c r="C13" s="296">
        <v>42743</v>
      </c>
      <c r="D13" s="84"/>
      <c r="E13"/>
      <c r="F13" s="214"/>
    </row>
    <row r="14" spans="1:15" ht="12.75">
      <c r="A14" s="101" t="s">
        <v>675</v>
      </c>
      <c r="B14" s="296">
        <v>2208288</v>
      </c>
      <c r="C14" s="296">
        <v>0</v>
      </c>
      <c r="D14" s="423"/>
      <c r="E14" s="313"/>
      <c r="F14" s="214"/>
      <c r="G14" s="214"/>
      <c r="H14" s="214"/>
      <c r="I14" s="214"/>
      <c r="J14" s="214"/>
      <c r="K14" s="214"/>
      <c r="L14" s="214"/>
      <c r="M14" s="214"/>
      <c r="N14" s="214"/>
      <c r="O14" s="214"/>
    </row>
    <row r="15" spans="1:256" ht="12.75">
      <c r="A15" s="101" t="s">
        <v>27</v>
      </c>
      <c r="B15" s="296"/>
      <c r="C15" s="296">
        <v>406712</v>
      </c>
      <c r="D15" s="421"/>
      <c r="E15" s="422"/>
      <c r="F15" s="422"/>
      <c r="G15" s="421"/>
      <c r="H15" s="422"/>
      <c r="I15" s="422"/>
      <c r="J15" s="421"/>
      <c r="K15" s="422"/>
      <c r="L15" s="422"/>
      <c r="M15" s="421"/>
      <c r="N15" s="422"/>
      <c r="O15" s="422"/>
      <c r="P15" s="191"/>
      <c r="Q15" s="293"/>
      <c r="R15" s="293"/>
      <c r="S15" s="101"/>
      <c r="T15" s="293"/>
      <c r="U15" s="293"/>
      <c r="V15" s="101"/>
      <c r="W15" s="293"/>
      <c r="X15" s="293"/>
      <c r="Y15" s="101"/>
      <c r="Z15" s="293"/>
      <c r="AA15" s="293"/>
      <c r="AB15" s="101"/>
      <c r="AC15" s="293"/>
      <c r="AD15" s="293"/>
      <c r="AE15" s="101"/>
      <c r="AF15" s="293"/>
      <c r="AG15" s="293"/>
      <c r="AH15" s="101"/>
      <c r="AI15" s="293"/>
      <c r="AJ15" s="293"/>
      <c r="AK15" s="101"/>
      <c r="AL15" s="293"/>
      <c r="AM15" s="293"/>
      <c r="AN15" s="101"/>
      <c r="AO15" s="293"/>
      <c r="AP15" s="293"/>
      <c r="AQ15" s="101"/>
      <c r="AR15" s="293"/>
      <c r="AS15" s="293"/>
      <c r="AT15" s="101"/>
      <c r="AU15" s="293"/>
      <c r="AV15" s="293"/>
      <c r="AW15" s="101"/>
      <c r="AX15" s="293"/>
      <c r="AY15" s="293"/>
      <c r="AZ15" s="101"/>
      <c r="BA15" s="293"/>
      <c r="BB15" s="293"/>
      <c r="BC15" s="101"/>
      <c r="BD15" s="293"/>
      <c r="BE15" s="293"/>
      <c r="BF15" s="101"/>
      <c r="BG15" s="293"/>
      <c r="BH15" s="293"/>
      <c r="BI15" s="101"/>
      <c r="BJ15" s="293"/>
      <c r="BK15" s="293"/>
      <c r="BL15" s="101"/>
      <c r="BM15" s="293"/>
      <c r="BN15" s="293"/>
      <c r="BO15" s="101"/>
      <c r="BP15" s="293"/>
      <c r="BQ15" s="293"/>
      <c r="BR15" s="101"/>
      <c r="BS15" s="293"/>
      <c r="BT15" s="293"/>
      <c r="BU15" s="101"/>
      <c r="BV15" s="293"/>
      <c r="BW15" s="293"/>
      <c r="BX15" s="101"/>
      <c r="BY15" s="293"/>
      <c r="BZ15" s="293"/>
      <c r="CA15" s="101"/>
      <c r="CB15" s="293"/>
      <c r="CC15" s="293"/>
      <c r="CD15" s="101"/>
      <c r="CE15" s="293"/>
      <c r="CF15" s="293"/>
      <c r="CG15" s="101"/>
      <c r="CH15" s="293"/>
      <c r="CI15" s="293"/>
      <c r="CJ15" s="101"/>
      <c r="CK15" s="293"/>
      <c r="CL15" s="293"/>
      <c r="CM15" s="101"/>
      <c r="CN15" s="293"/>
      <c r="CO15" s="293"/>
      <c r="CP15" s="101"/>
      <c r="CQ15" s="293"/>
      <c r="CR15" s="293"/>
      <c r="CS15" s="101"/>
      <c r="CT15" s="293"/>
      <c r="CU15" s="293"/>
      <c r="CV15" s="101"/>
      <c r="CW15" s="293"/>
      <c r="CX15" s="293"/>
      <c r="CY15" s="101"/>
      <c r="CZ15" s="293"/>
      <c r="DA15" s="293"/>
      <c r="DB15" s="101"/>
      <c r="DC15" s="293"/>
      <c r="DD15" s="293"/>
      <c r="DE15" s="101"/>
      <c r="DF15" s="293"/>
      <c r="DG15" s="293"/>
      <c r="DH15" s="101"/>
      <c r="DI15" s="293"/>
      <c r="DJ15" s="293"/>
      <c r="DK15" s="101"/>
      <c r="DL15" s="293"/>
      <c r="DM15" s="293"/>
      <c r="DN15" s="101"/>
      <c r="DO15" s="293"/>
      <c r="DP15" s="293"/>
      <c r="DQ15" s="101"/>
      <c r="DR15" s="293"/>
      <c r="DS15" s="293"/>
      <c r="DT15" s="101"/>
      <c r="DU15" s="293"/>
      <c r="DV15" s="293"/>
      <c r="DW15" s="101"/>
      <c r="DX15" s="293"/>
      <c r="DY15" s="293"/>
      <c r="DZ15" s="101"/>
      <c r="EA15" s="293"/>
      <c r="EB15" s="293"/>
      <c r="EC15" s="101"/>
      <c r="ED15" s="293"/>
      <c r="EE15" s="293"/>
      <c r="EF15" s="101"/>
      <c r="EG15" s="293"/>
      <c r="EH15" s="293"/>
      <c r="EI15" s="101"/>
      <c r="EJ15" s="293"/>
      <c r="EK15" s="293"/>
      <c r="EL15" s="101"/>
      <c r="EM15" s="293"/>
      <c r="EN15" s="293"/>
      <c r="EO15" s="101"/>
      <c r="EP15" s="293"/>
      <c r="EQ15" s="293"/>
      <c r="ER15" s="101"/>
      <c r="ES15" s="293"/>
      <c r="ET15" s="293"/>
      <c r="EU15" s="101"/>
      <c r="EV15" s="293"/>
      <c r="EW15" s="293"/>
      <c r="EX15" s="101"/>
      <c r="EY15" s="293"/>
      <c r="EZ15" s="293"/>
      <c r="FA15" s="101"/>
      <c r="FB15" s="293"/>
      <c r="FC15" s="293"/>
      <c r="FD15" s="101"/>
      <c r="FE15" s="293"/>
      <c r="FF15" s="293"/>
      <c r="FG15" s="101"/>
      <c r="FH15" s="293"/>
      <c r="FI15" s="293"/>
      <c r="FJ15" s="101"/>
      <c r="FK15" s="293"/>
      <c r="FL15" s="293"/>
      <c r="FM15" s="101"/>
      <c r="FN15" s="293"/>
      <c r="FO15" s="293"/>
      <c r="FP15" s="101"/>
      <c r="FQ15" s="293"/>
      <c r="FR15" s="293"/>
      <c r="FS15" s="101"/>
      <c r="FT15" s="293"/>
      <c r="FU15" s="293"/>
      <c r="FV15" s="101"/>
      <c r="FW15" s="293"/>
      <c r="FX15" s="293"/>
      <c r="FY15" s="101"/>
      <c r="FZ15" s="293"/>
      <c r="GA15" s="293"/>
      <c r="GB15" s="101"/>
      <c r="GC15" s="293"/>
      <c r="GD15" s="293"/>
      <c r="GE15" s="101"/>
      <c r="GF15" s="293"/>
      <c r="GG15" s="293"/>
      <c r="GH15" s="101"/>
      <c r="GI15" s="293"/>
      <c r="GJ15" s="293"/>
      <c r="GK15" s="101"/>
      <c r="GL15" s="293"/>
      <c r="GM15" s="293"/>
      <c r="GN15" s="101"/>
      <c r="GO15" s="293"/>
      <c r="GP15" s="293"/>
      <c r="GQ15" s="101"/>
      <c r="GR15" s="293"/>
      <c r="GS15" s="293"/>
      <c r="GT15" s="101"/>
      <c r="GU15" s="293"/>
      <c r="GV15" s="293"/>
      <c r="GW15" s="101"/>
      <c r="GX15" s="293"/>
      <c r="GY15" s="293"/>
      <c r="GZ15" s="101"/>
      <c r="HA15" s="293"/>
      <c r="HB15" s="293"/>
      <c r="HC15" s="101"/>
      <c r="HD15" s="293"/>
      <c r="HE15" s="293"/>
      <c r="HF15" s="101"/>
      <c r="HG15" s="293"/>
      <c r="HH15" s="293"/>
      <c r="HI15" s="101"/>
      <c r="HJ15" s="293"/>
      <c r="HK15" s="293"/>
      <c r="HL15" s="101"/>
      <c r="HM15" s="293"/>
      <c r="HN15" s="293"/>
      <c r="HO15" s="101"/>
      <c r="HP15" s="293"/>
      <c r="HQ15" s="293"/>
      <c r="HR15" s="101"/>
      <c r="HS15" s="293"/>
      <c r="HT15" s="293"/>
      <c r="HU15" s="101"/>
      <c r="HV15" s="293"/>
      <c r="HW15" s="293"/>
      <c r="HX15" s="101"/>
      <c r="HY15" s="293"/>
      <c r="HZ15" s="293"/>
      <c r="IA15" s="101"/>
      <c r="IB15" s="293"/>
      <c r="IC15" s="293"/>
      <c r="ID15" s="101"/>
      <c r="IE15" s="293"/>
      <c r="IF15" s="293"/>
      <c r="IG15" s="101"/>
      <c r="IH15" s="293"/>
      <c r="II15" s="293"/>
      <c r="IJ15" s="101"/>
      <c r="IK15" s="293"/>
      <c r="IL15" s="293"/>
      <c r="IM15" s="101"/>
      <c r="IN15" s="293"/>
      <c r="IO15" s="293"/>
      <c r="IP15" s="101"/>
      <c r="IQ15" s="293"/>
      <c r="IR15" s="293"/>
      <c r="IS15" s="101"/>
      <c r="IT15" s="293"/>
      <c r="IU15" s="293"/>
      <c r="IV15" s="101"/>
    </row>
    <row r="16" spans="1:256" ht="12.75">
      <c r="A16" s="101" t="s">
        <v>28</v>
      </c>
      <c r="B16" s="296"/>
      <c r="C16" s="296">
        <v>159952</v>
      </c>
      <c r="D16" s="421"/>
      <c r="E16" s="422"/>
      <c r="F16" s="422"/>
      <c r="G16" s="421"/>
      <c r="H16" s="422"/>
      <c r="I16" s="422"/>
      <c r="J16" s="421"/>
      <c r="K16" s="422"/>
      <c r="L16" s="422"/>
      <c r="M16" s="421"/>
      <c r="N16" s="422"/>
      <c r="O16" s="422"/>
      <c r="P16" s="191"/>
      <c r="Q16" s="293"/>
      <c r="R16" s="293"/>
      <c r="S16" s="101"/>
      <c r="T16" s="293"/>
      <c r="U16" s="293"/>
      <c r="V16" s="101"/>
      <c r="W16" s="293"/>
      <c r="X16" s="293"/>
      <c r="Y16" s="101"/>
      <c r="Z16" s="293"/>
      <c r="AA16" s="293"/>
      <c r="AB16" s="101"/>
      <c r="AC16" s="293"/>
      <c r="AD16" s="293"/>
      <c r="AE16" s="101"/>
      <c r="AF16" s="293"/>
      <c r="AG16" s="293"/>
      <c r="AH16" s="101"/>
      <c r="AI16" s="293"/>
      <c r="AJ16" s="293"/>
      <c r="AK16" s="101"/>
      <c r="AL16" s="293"/>
      <c r="AM16" s="293"/>
      <c r="AN16" s="101"/>
      <c r="AO16" s="293"/>
      <c r="AP16" s="293"/>
      <c r="AQ16" s="101"/>
      <c r="AR16" s="293"/>
      <c r="AS16" s="293"/>
      <c r="AT16" s="101"/>
      <c r="AU16" s="293"/>
      <c r="AV16" s="293"/>
      <c r="AW16" s="101"/>
      <c r="AX16" s="293"/>
      <c r="AY16" s="293"/>
      <c r="AZ16" s="101"/>
      <c r="BA16" s="293"/>
      <c r="BB16" s="293"/>
      <c r="BC16" s="101"/>
      <c r="BD16" s="293"/>
      <c r="BE16" s="293"/>
      <c r="BF16" s="101"/>
      <c r="BG16" s="293"/>
      <c r="BH16" s="293"/>
      <c r="BI16" s="101"/>
      <c r="BJ16" s="293"/>
      <c r="BK16" s="293"/>
      <c r="BL16" s="101"/>
      <c r="BM16" s="293"/>
      <c r="BN16" s="293"/>
      <c r="BO16" s="101"/>
      <c r="BP16" s="293"/>
      <c r="BQ16" s="293"/>
      <c r="BR16" s="101"/>
      <c r="BS16" s="293"/>
      <c r="BT16" s="293"/>
      <c r="BU16" s="101"/>
      <c r="BV16" s="293"/>
      <c r="BW16" s="293"/>
      <c r="BX16" s="101"/>
      <c r="BY16" s="293"/>
      <c r="BZ16" s="293"/>
      <c r="CA16" s="101"/>
      <c r="CB16" s="293"/>
      <c r="CC16" s="293"/>
      <c r="CD16" s="101"/>
      <c r="CE16" s="293"/>
      <c r="CF16" s="293"/>
      <c r="CG16" s="101"/>
      <c r="CH16" s="293"/>
      <c r="CI16" s="293"/>
      <c r="CJ16" s="101"/>
      <c r="CK16" s="293"/>
      <c r="CL16" s="293"/>
      <c r="CM16" s="101"/>
      <c r="CN16" s="293"/>
      <c r="CO16" s="293"/>
      <c r="CP16" s="101"/>
      <c r="CQ16" s="293"/>
      <c r="CR16" s="293"/>
      <c r="CS16" s="101"/>
      <c r="CT16" s="293"/>
      <c r="CU16" s="293"/>
      <c r="CV16" s="101"/>
      <c r="CW16" s="293"/>
      <c r="CX16" s="293"/>
      <c r="CY16" s="101"/>
      <c r="CZ16" s="293"/>
      <c r="DA16" s="293"/>
      <c r="DB16" s="101"/>
      <c r="DC16" s="293"/>
      <c r="DD16" s="293"/>
      <c r="DE16" s="101"/>
      <c r="DF16" s="293"/>
      <c r="DG16" s="293"/>
      <c r="DH16" s="101"/>
      <c r="DI16" s="293"/>
      <c r="DJ16" s="293"/>
      <c r="DK16" s="101"/>
      <c r="DL16" s="293"/>
      <c r="DM16" s="293"/>
      <c r="DN16" s="101"/>
      <c r="DO16" s="293"/>
      <c r="DP16" s="293"/>
      <c r="DQ16" s="101"/>
      <c r="DR16" s="293"/>
      <c r="DS16" s="293"/>
      <c r="DT16" s="101"/>
      <c r="DU16" s="293"/>
      <c r="DV16" s="293"/>
      <c r="DW16" s="101"/>
      <c r="DX16" s="293"/>
      <c r="DY16" s="293"/>
      <c r="DZ16" s="101"/>
      <c r="EA16" s="293"/>
      <c r="EB16" s="293"/>
      <c r="EC16" s="101"/>
      <c r="ED16" s="293"/>
      <c r="EE16" s="293"/>
      <c r="EF16" s="101"/>
      <c r="EG16" s="293"/>
      <c r="EH16" s="293"/>
      <c r="EI16" s="101"/>
      <c r="EJ16" s="293"/>
      <c r="EK16" s="293"/>
      <c r="EL16" s="101"/>
      <c r="EM16" s="293"/>
      <c r="EN16" s="293"/>
      <c r="EO16" s="101"/>
      <c r="EP16" s="293"/>
      <c r="EQ16" s="293"/>
      <c r="ER16" s="101"/>
      <c r="ES16" s="293"/>
      <c r="ET16" s="293"/>
      <c r="EU16" s="101"/>
      <c r="EV16" s="293"/>
      <c r="EW16" s="293"/>
      <c r="EX16" s="101"/>
      <c r="EY16" s="293"/>
      <c r="EZ16" s="293"/>
      <c r="FA16" s="101"/>
      <c r="FB16" s="293"/>
      <c r="FC16" s="293"/>
      <c r="FD16" s="101"/>
      <c r="FE16" s="293"/>
      <c r="FF16" s="293"/>
      <c r="FG16" s="101"/>
      <c r="FH16" s="293"/>
      <c r="FI16" s="293"/>
      <c r="FJ16" s="101"/>
      <c r="FK16" s="293"/>
      <c r="FL16" s="293"/>
      <c r="FM16" s="101"/>
      <c r="FN16" s="293"/>
      <c r="FO16" s="293"/>
      <c r="FP16" s="101"/>
      <c r="FQ16" s="293"/>
      <c r="FR16" s="293"/>
      <c r="FS16" s="101"/>
      <c r="FT16" s="293"/>
      <c r="FU16" s="293"/>
      <c r="FV16" s="101"/>
      <c r="FW16" s="293"/>
      <c r="FX16" s="293"/>
      <c r="FY16" s="101"/>
      <c r="FZ16" s="293"/>
      <c r="GA16" s="293"/>
      <c r="GB16" s="101"/>
      <c r="GC16" s="293"/>
      <c r="GD16" s="293"/>
      <c r="GE16" s="101"/>
      <c r="GF16" s="293"/>
      <c r="GG16" s="293"/>
      <c r="GH16" s="101"/>
      <c r="GI16" s="293"/>
      <c r="GJ16" s="293"/>
      <c r="GK16" s="101"/>
      <c r="GL16" s="293"/>
      <c r="GM16" s="293"/>
      <c r="GN16" s="101"/>
      <c r="GO16" s="293"/>
      <c r="GP16" s="293"/>
      <c r="GQ16" s="101"/>
      <c r="GR16" s="293"/>
      <c r="GS16" s="293"/>
      <c r="GT16" s="101"/>
      <c r="GU16" s="293"/>
      <c r="GV16" s="293"/>
      <c r="GW16" s="101"/>
      <c r="GX16" s="293"/>
      <c r="GY16" s="293"/>
      <c r="GZ16" s="101"/>
      <c r="HA16" s="293"/>
      <c r="HB16" s="293"/>
      <c r="HC16" s="101"/>
      <c r="HD16" s="293"/>
      <c r="HE16" s="293"/>
      <c r="HF16" s="101"/>
      <c r="HG16" s="293"/>
      <c r="HH16" s="293"/>
      <c r="HI16" s="101"/>
      <c r="HJ16" s="293"/>
      <c r="HK16" s="293"/>
      <c r="HL16" s="101"/>
      <c r="HM16" s="293"/>
      <c r="HN16" s="293"/>
      <c r="HO16" s="101"/>
      <c r="HP16" s="293"/>
      <c r="HQ16" s="293"/>
      <c r="HR16" s="101"/>
      <c r="HS16" s="293"/>
      <c r="HT16" s="293"/>
      <c r="HU16" s="101"/>
      <c r="HV16" s="293"/>
      <c r="HW16" s="293"/>
      <c r="HX16" s="101"/>
      <c r="HY16" s="293"/>
      <c r="HZ16" s="293"/>
      <c r="IA16" s="101"/>
      <c r="IB16" s="293"/>
      <c r="IC16" s="293"/>
      <c r="ID16" s="101"/>
      <c r="IE16" s="293"/>
      <c r="IF16" s="293"/>
      <c r="IG16" s="101"/>
      <c r="IH16" s="293"/>
      <c r="II16" s="293"/>
      <c r="IJ16" s="101"/>
      <c r="IK16" s="293"/>
      <c r="IL16" s="293"/>
      <c r="IM16" s="101"/>
      <c r="IN16" s="293"/>
      <c r="IO16" s="293"/>
      <c r="IP16" s="101"/>
      <c r="IQ16" s="293"/>
      <c r="IR16" s="293"/>
      <c r="IS16" s="101"/>
      <c r="IT16" s="293"/>
      <c r="IU16" s="293"/>
      <c r="IV16" s="101"/>
    </row>
    <row r="17" spans="1:6" ht="12.75">
      <c r="A17" s="221" t="s">
        <v>619</v>
      </c>
      <c r="B17" s="296">
        <v>-668076</v>
      </c>
      <c r="C17" s="296">
        <v>-669405</v>
      </c>
      <c r="D17" s="84"/>
      <c r="E17"/>
      <c r="F17" s="214"/>
    </row>
    <row r="18" spans="1:6" ht="12.75">
      <c r="A18" s="245" t="s">
        <v>620</v>
      </c>
      <c r="B18" s="296">
        <v>-440391</v>
      </c>
      <c r="C18" s="296">
        <v>-445057</v>
      </c>
      <c r="D18" s="84"/>
      <c r="E18"/>
      <c r="F18" s="214"/>
    </row>
    <row r="19" spans="1:6" ht="12.75">
      <c r="A19" s="221" t="s">
        <v>29</v>
      </c>
      <c r="B19" s="296"/>
      <c r="C19" s="296">
        <v>3097</v>
      </c>
      <c r="D19" s="84"/>
      <c r="E19"/>
      <c r="F19" s="214"/>
    </row>
    <row r="20" spans="1:6" ht="12.75">
      <c r="A20" s="242" t="s">
        <v>26</v>
      </c>
      <c r="B20" s="296">
        <v>375694</v>
      </c>
      <c r="C20" s="296">
        <v>379489</v>
      </c>
      <c r="D20" s="84"/>
      <c r="E20"/>
      <c r="F20" s="214"/>
    </row>
    <row r="21" spans="1:6" ht="22.5">
      <c r="A21" s="241" t="s">
        <v>656</v>
      </c>
      <c r="B21" s="539">
        <v>3000</v>
      </c>
      <c r="C21" s="539">
        <v>3000</v>
      </c>
      <c r="D21" s="84"/>
      <c r="E21"/>
      <c r="F21" s="214"/>
    </row>
    <row r="22" spans="1:256" ht="12.75">
      <c r="A22" s="101" t="s">
        <v>32</v>
      </c>
      <c r="B22" s="296"/>
      <c r="C22" s="296">
        <v>961954</v>
      </c>
      <c r="D22" s="421"/>
      <c r="E22" s="422"/>
      <c r="F22" s="422"/>
      <c r="G22" s="421"/>
      <c r="H22" s="422"/>
      <c r="I22" s="422"/>
      <c r="J22" s="421"/>
      <c r="K22" s="422"/>
      <c r="L22" s="422"/>
      <c r="M22" s="421"/>
      <c r="N22" s="422"/>
      <c r="O22" s="422"/>
      <c r="P22" s="191"/>
      <c r="Q22" s="293"/>
      <c r="R22" s="293"/>
      <c r="S22" s="101"/>
      <c r="T22" s="293"/>
      <c r="U22" s="293"/>
      <c r="V22" s="101"/>
      <c r="W22" s="293"/>
      <c r="X22" s="293"/>
      <c r="Y22" s="101"/>
      <c r="Z22" s="293"/>
      <c r="AA22" s="293"/>
      <c r="AB22" s="101"/>
      <c r="AC22" s="293"/>
      <c r="AD22" s="293"/>
      <c r="AE22" s="101"/>
      <c r="AF22" s="293"/>
      <c r="AG22" s="293"/>
      <c r="AH22" s="101"/>
      <c r="AI22" s="293"/>
      <c r="AJ22" s="293"/>
      <c r="AK22" s="101"/>
      <c r="AL22" s="293"/>
      <c r="AM22" s="293"/>
      <c r="AN22" s="101"/>
      <c r="AO22" s="293"/>
      <c r="AP22" s="293"/>
      <c r="AQ22" s="101"/>
      <c r="AR22" s="293"/>
      <c r="AS22" s="293"/>
      <c r="AT22" s="101"/>
      <c r="AU22" s="293"/>
      <c r="AV22" s="293"/>
      <c r="AW22" s="101"/>
      <c r="AX22" s="293"/>
      <c r="AY22" s="293"/>
      <c r="AZ22" s="101"/>
      <c r="BA22" s="293"/>
      <c r="BB22" s="293"/>
      <c r="BC22" s="101"/>
      <c r="BD22" s="293"/>
      <c r="BE22" s="293"/>
      <c r="BF22" s="101"/>
      <c r="BG22" s="293"/>
      <c r="BH22" s="293"/>
      <c r="BI22" s="101"/>
      <c r="BJ22" s="293"/>
      <c r="BK22" s="293"/>
      <c r="BL22" s="101"/>
      <c r="BM22" s="293"/>
      <c r="BN22" s="293"/>
      <c r="BO22" s="101"/>
      <c r="BP22" s="293"/>
      <c r="BQ22" s="293"/>
      <c r="BR22" s="101"/>
      <c r="BS22" s="293"/>
      <c r="BT22" s="293"/>
      <c r="BU22" s="101"/>
      <c r="BV22" s="293"/>
      <c r="BW22" s="293"/>
      <c r="BX22" s="101"/>
      <c r="BY22" s="293"/>
      <c r="BZ22" s="293"/>
      <c r="CA22" s="101"/>
      <c r="CB22" s="293"/>
      <c r="CC22" s="293"/>
      <c r="CD22" s="101"/>
      <c r="CE22" s="293"/>
      <c r="CF22" s="293"/>
      <c r="CG22" s="101"/>
      <c r="CH22" s="293"/>
      <c r="CI22" s="293"/>
      <c r="CJ22" s="101"/>
      <c r="CK22" s="293"/>
      <c r="CL22" s="293"/>
      <c r="CM22" s="101"/>
      <c r="CN22" s="293"/>
      <c r="CO22" s="293"/>
      <c r="CP22" s="101"/>
      <c r="CQ22" s="293"/>
      <c r="CR22" s="293"/>
      <c r="CS22" s="101"/>
      <c r="CT22" s="293"/>
      <c r="CU22" s="293"/>
      <c r="CV22" s="101"/>
      <c r="CW22" s="293"/>
      <c r="CX22" s="293"/>
      <c r="CY22" s="101"/>
      <c r="CZ22" s="293"/>
      <c r="DA22" s="293"/>
      <c r="DB22" s="101"/>
      <c r="DC22" s="293"/>
      <c r="DD22" s="293"/>
      <c r="DE22" s="101"/>
      <c r="DF22" s="293"/>
      <c r="DG22" s="293"/>
      <c r="DH22" s="101"/>
      <c r="DI22" s="293"/>
      <c r="DJ22" s="293"/>
      <c r="DK22" s="101"/>
      <c r="DL22" s="293"/>
      <c r="DM22" s="293"/>
      <c r="DN22" s="101"/>
      <c r="DO22" s="293"/>
      <c r="DP22" s="293"/>
      <c r="DQ22" s="101"/>
      <c r="DR22" s="293"/>
      <c r="DS22" s="293"/>
      <c r="DT22" s="101"/>
      <c r="DU22" s="293"/>
      <c r="DV22" s="293"/>
      <c r="DW22" s="101"/>
      <c r="DX22" s="293"/>
      <c r="DY22" s="293"/>
      <c r="DZ22" s="101"/>
      <c r="EA22" s="293"/>
      <c r="EB22" s="293"/>
      <c r="EC22" s="101"/>
      <c r="ED22" s="293"/>
      <c r="EE22" s="293"/>
      <c r="EF22" s="101"/>
      <c r="EG22" s="293"/>
      <c r="EH22" s="293"/>
      <c r="EI22" s="101"/>
      <c r="EJ22" s="293"/>
      <c r="EK22" s="293"/>
      <c r="EL22" s="101"/>
      <c r="EM22" s="293"/>
      <c r="EN22" s="293"/>
      <c r="EO22" s="101"/>
      <c r="EP22" s="293"/>
      <c r="EQ22" s="293"/>
      <c r="ER22" s="101"/>
      <c r="ES22" s="293"/>
      <c r="ET22" s="293"/>
      <c r="EU22" s="101"/>
      <c r="EV22" s="293"/>
      <c r="EW22" s="293"/>
      <c r="EX22" s="101"/>
      <c r="EY22" s="293"/>
      <c r="EZ22" s="293"/>
      <c r="FA22" s="101"/>
      <c r="FB22" s="293"/>
      <c r="FC22" s="293"/>
      <c r="FD22" s="101"/>
      <c r="FE22" s="293"/>
      <c r="FF22" s="293"/>
      <c r="FG22" s="101"/>
      <c r="FH22" s="293"/>
      <c r="FI22" s="293"/>
      <c r="FJ22" s="101"/>
      <c r="FK22" s="293"/>
      <c r="FL22" s="293"/>
      <c r="FM22" s="101"/>
      <c r="FN22" s="293"/>
      <c r="FO22" s="293"/>
      <c r="FP22" s="101"/>
      <c r="FQ22" s="293"/>
      <c r="FR22" s="293"/>
      <c r="FS22" s="101"/>
      <c r="FT22" s="293"/>
      <c r="FU22" s="293"/>
      <c r="FV22" s="101"/>
      <c r="FW22" s="293"/>
      <c r="FX22" s="293"/>
      <c r="FY22" s="101"/>
      <c r="FZ22" s="293"/>
      <c r="GA22" s="293"/>
      <c r="GB22" s="101"/>
      <c r="GC22" s="293"/>
      <c r="GD22" s="293"/>
      <c r="GE22" s="101"/>
      <c r="GF22" s="293"/>
      <c r="GG22" s="293"/>
      <c r="GH22" s="101"/>
      <c r="GI22" s="293"/>
      <c r="GJ22" s="293"/>
      <c r="GK22" s="101"/>
      <c r="GL22" s="293"/>
      <c r="GM22" s="293"/>
      <c r="GN22" s="101"/>
      <c r="GO22" s="293"/>
      <c r="GP22" s="293"/>
      <c r="GQ22" s="101"/>
      <c r="GR22" s="293"/>
      <c r="GS22" s="293"/>
      <c r="GT22" s="101"/>
      <c r="GU22" s="293"/>
      <c r="GV22" s="293"/>
      <c r="GW22" s="101"/>
      <c r="GX22" s="293"/>
      <c r="GY22" s="293"/>
      <c r="GZ22" s="101"/>
      <c r="HA22" s="293"/>
      <c r="HB22" s="293"/>
      <c r="HC22" s="101"/>
      <c r="HD22" s="293"/>
      <c r="HE22" s="293"/>
      <c r="HF22" s="101"/>
      <c r="HG22" s="293"/>
      <c r="HH22" s="293"/>
      <c r="HI22" s="101"/>
      <c r="HJ22" s="293"/>
      <c r="HK22" s="293"/>
      <c r="HL22" s="101"/>
      <c r="HM22" s="293"/>
      <c r="HN22" s="293"/>
      <c r="HO22" s="101"/>
      <c r="HP22" s="293"/>
      <c r="HQ22" s="293"/>
      <c r="HR22" s="101"/>
      <c r="HS22" s="293"/>
      <c r="HT22" s="293"/>
      <c r="HU22" s="101"/>
      <c r="HV22" s="293"/>
      <c r="HW22" s="293"/>
      <c r="HX22" s="101"/>
      <c r="HY22" s="293"/>
      <c r="HZ22" s="293"/>
      <c r="IA22" s="101"/>
      <c r="IB22" s="293"/>
      <c r="IC22" s="293"/>
      <c r="ID22" s="101"/>
      <c r="IE22" s="293"/>
      <c r="IF22" s="293"/>
      <c r="IG22" s="101"/>
      <c r="IH22" s="293"/>
      <c r="II22" s="293"/>
      <c r="IJ22" s="101"/>
      <c r="IK22" s="293"/>
      <c r="IL22" s="293"/>
      <c r="IM22" s="101"/>
      <c r="IN22" s="293"/>
      <c r="IO22" s="293"/>
      <c r="IP22" s="101"/>
      <c r="IQ22" s="293"/>
      <c r="IR22" s="293"/>
      <c r="IS22" s="101"/>
      <c r="IT22" s="293"/>
      <c r="IU22" s="293"/>
      <c r="IV22" s="101"/>
    </row>
    <row r="23" spans="1:6" ht="12.75">
      <c r="A23" s="242" t="s">
        <v>709</v>
      </c>
      <c r="B23" s="296">
        <v>162323</v>
      </c>
      <c r="C23" s="296"/>
      <c r="D23" s="84"/>
      <c r="E23"/>
      <c r="F23" s="214"/>
    </row>
    <row r="24" spans="1:6" ht="12.75">
      <c r="A24" s="626" t="s">
        <v>856</v>
      </c>
      <c r="B24" s="296">
        <v>257883</v>
      </c>
      <c r="C24" s="296"/>
      <c r="D24" s="84"/>
      <c r="E24"/>
      <c r="F24" s="214"/>
    </row>
    <row r="25" spans="1:6" ht="12.75">
      <c r="A25" s="242" t="s">
        <v>711</v>
      </c>
      <c r="B25" s="296">
        <v>716734</v>
      </c>
      <c r="C25" s="296"/>
      <c r="D25" s="84"/>
      <c r="E25"/>
      <c r="F25" s="214"/>
    </row>
    <row r="26" spans="1:6" ht="12.75">
      <c r="A26" s="241" t="s">
        <v>805</v>
      </c>
      <c r="B26" s="296">
        <v>111994</v>
      </c>
      <c r="C26" s="296"/>
      <c r="D26" s="84"/>
      <c r="E26"/>
      <c r="F26" s="214"/>
    </row>
    <row r="27" spans="1:6" ht="12.75">
      <c r="A27" s="242" t="s">
        <v>710</v>
      </c>
      <c r="B27" s="296">
        <v>687966</v>
      </c>
      <c r="C27" s="296"/>
      <c r="D27" s="84"/>
      <c r="E27"/>
      <c r="F27" s="214"/>
    </row>
    <row r="28" spans="1:6" s="300" customFormat="1" ht="12.75">
      <c r="A28" s="627" t="s">
        <v>857</v>
      </c>
      <c r="B28" s="539">
        <v>78279</v>
      </c>
      <c r="C28" s="539"/>
      <c r="D28" s="297"/>
      <c r="E28" s="298"/>
      <c r="F28" s="299"/>
    </row>
    <row r="29" spans="1:6" ht="12.75">
      <c r="A29" s="242" t="s">
        <v>657</v>
      </c>
      <c r="B29" s="296">
        <v>4163</v>
      </c>
      <c r="C29" s="296"/>
      <c r="D29" s="84"/>
      <c r="E29"/>
      <c r="F29" s="214"/>
    </row>
    <row r="30" spans="1:6" ht="12.75" customHeight="1">
      <c r="A30" s="477" t="s">
        <v>199</v>
      </c>
      <c r="B30" s="296"/>
      <c r="C30" s="296"/>
      <c r="D30" s="243"/>
      <c r="E30"/>
      <c r="F30" s="214"/>
    </row>
    <row r="31" spans="1:6" ht="12.75">
      <c r="A31" s="241" t="s">
        <v>587</v>
      </c>
      <c r="B31" s="296">
        <v>11890416</v>
      </c>
      <c r="C31" s="296">
        <v>12000843</v>
      </c>
      <c r="D31" s="84"/>
      <c r="E31"/>
      <c r="F31" s="214"/>
    </row>
    <row r="32" spans="1:6" ht="12.75">
      <c r="A32" s="101" t="s">
        <v>588</v>
      </c>
      <c r="B32" s="296">
        <v>6940506</v>
      </c>
      <c r="C32" s="296">
        <v>7244279</v>
      </c>
      <c r="D32" s="84"/>
      <c r="E32"/>
      <c r="F32" s="214"/>
    </row>
    <row r="33" spans="1:6" ht="12.75">
      <c r="A33" s="101" t="s">
        <v>150</v>
      </c>
      <c r="B33" s="296">
        <v>2001026</v>
      </c>
      <c r="C33" s="296">
        <v>0</v>
      </c>
      <c r="D33" s="84"/>
      <c r="E33"/>
      <c r="F33" s="214"/>
    </row>
    <row r="34" spans="1:15" ht="25.5">
      <c r="A34" s="295" t="s">
        <v>859</v>
      </c>
      <c r="B34" s="296">
        <v>362157</v>
      </c>
      <c r="C34" s="296">
        <v>270118</v>
      </c>
      <c r="D34" s="423"/>
      <c r="E34" s="313"/>
      <c r="F34" s="214"/>
      <c r="G34" s="214"/>
      <c r="H34" s="214"/>
      <c r="I34" s="214"/>
      <c r="J34" s="214"/>
      <c r="K34" s="214"/>
      <c r="L34" s="214"/>
      <c r="M34" s="214"/>
      <c r="N34" s="214"/>
      <c r="O34" s="214"/>
    </row>
    <row r="35" spans="1:6" ht="25.5">
      <c r="A35" s="295" t="s">
        <v>743</v>
      </c>
      <c r="B35" s="296">
        <v>58096</v>
      </c>
      <c r="C35" s="296">
        <v>12222</v>
      </c>
      <c r="D35" s="84"/>
      <c r="E35"/>
      <c r="F35" s="214"/>
    </row>
    <row r="36" spans="1:6" ht="12.75">
      <c r="A36" s="295" t="s">
        <v>807</v>
      </c>
      <c r="B36" s="296"/>
      <c r="C36" s="296"/>
      <c r="D36" s="84"/>
      <c r="E36"/>
      <c r="F36" s="214"/>
    </row>
    <row r="37" spans="1:6" ht="12.75">
      <c r="A37" s="295" t="s">
        <v>806</v>
      </c>
      <c r="B37" s="296"/>
      <c r="C37" s="296"/>
      <c r="D37" s="84"/>
      <c r="E37"/>
      <c r="F37" s="214"/>
    </row>
    <row r="38" spans="1:6" ht="12.75">
      <c r="A38" s="295" t="s">
        <v>745</v>
      </c>
      <c r="B38" s="296">
        <v>850054</v>
      </c>
      <c r="C38" s="296">
        <v>628333</v>
      </c>
      <c r="D38" s="84"/>
      <c r="E38"/>
      <c r="F38" s="214"/>
    </row>
    <row r="39" spans="1:6" ht="12.75">
      <c r="A39" s="295"/>
      <c r="B39" s="296"/>
      <c r="C39" s="296"/>
      <c r="D39" s="84"/>
      <c r="E39"/>
      <c r="F39" s="214"/>
    </row>
    <row r="40" spans="1:6" ht="12.75">
      <c r="A40" s="222" t="s">
        <v>658</v>
      </c>
      <c r="B40" s="296"/>
      <c r="C40" s="296"/>
      <c r="D40" s="84"/>
      <c r="E40"/>
      <c r="F40" s="214"/>
    </row>
    <row r="41" spans="1:6" ht="12.75">
      <c r="A41" s="221" t="s">
        <v>854</v>
      </c>
      <c r="B41" s="296">
        <v>22575</v>
      </c>
      <c r="C41" s="296">
        <v>37116</v>
      </c>
      <c r="D41" s="244"/>
      <c r="E41"/>
      <c r="F41" s="214"/>
    </row>
    <row r="42" spans="1:6" ht="12.75">
      <c r="A42" s="221" t="s">
        <v>184</v>
      </c>
      <c r="B42" s="296">
        <v>41671</v>
      </c>
      <c r="C42" s="296">
        <v>21459</v>
      </c>
      <c r="D42" s="244"/>
      <c r="E42"/>
      <c r="F42" s="214"/>
    </row>
    <row r="43" spans="1:6" ht="12.75">
      <c r="A43" s="221" t="s">
        <v>850</v>
      </c>
      <c r="B43" s="296">
        <v>49009</v>
      </c>
      <c r="C43" s="296">
        <v>166551</v>
      </c>
      <c r="D43" s="244"/>
      <c r="E43"/>
      <c r="F43" s="214"/>
    </row>
    <row r="44" spans="1:6" ht="12.75">
      <c r="A44" s="221" t="s">
        <v>855</v>
      </c>
      <c r="B44" s="296">
        <v>32000</v>
      </c>
      <c r="C44" s="296">
        <v>93000</v>
      </c>
      <c r="D44" s="244"/>
      <c r="E44"/>
      <c r="F44" s="214"/>
    </row>
    <row r="45" spans="1:6" ht="24">
      <c r="A45" s="480" t="s">
        <v>185</v>
      </c>
      <c r="B45" s="296">
        <v>34051</v>
      </c>
      <c r="C45" s="296">
        <v>20449</v>
      </c>
      <c r="D45" s="244"/>
      <c r="E45"/>
      <c r="F45" s="214"/>
    </row>
    <row r="46" spans="1:6" ht="12.75">
      <c r="A46" s="480" t="s">
        <v>808</v>
      </c>
      <c r="B46" s="296">
        <v>7039</v>
      </c>
      <c r="C46" s="296">
        <v>0</v>
      </c>
      <c r="D46" s="244"/>
      <c r="E46"/>
      <c r="F46" s="214"/>
    </row>
    <row r="47" spans="1:6" ht="12.75">
      <c r="A47" s="641" t="s">
        <v>31</v>
      </c>
      <c r="B47" s="296"/>
      <c r="C47" s="296">
        <v>3744</v>
      </c>
      <c r="D47" s="244"/>
      <c r="E47"/>
      <c r="F47" s="214"/>
    </row>
    <row r="48" spans="1:6" ht="12.75">
      <c r="A48" s="221" t="s">
        <v>149</v>
      </c>
      <c r="B48" s="296">
        <f>3905+2998</f>
        <v>6903</v>
      </c>
      <c r="C48" s="296">
        <f>22991</f>
        <v>22991</v>
      </c>
      <c r="D48" s="244"/>
      <c r="E48"/>
      <c r="F48" s="214"/>
    </row>
    <row r="49" spans="1:6" ht="12.75">
      <c r="A49" s="219" t="s">
        <v>607</v>
      </c>
      <c r="B49" s="296"/>
      <c r="C49" s="296"/>
      <c r="D49" s="244"/>
      <c r="E49"/>
      <c r="F49" s="214"/>
    </row>
    <row r="50" spans="1:6" ht="12.75">
      <c r="A50" s="101" t="s">
        <v>186</v>
      </c>
      <c r="B50" s="296"/>
      <c r="C50" s="296"/>
      <c r="D50" s="244"/>
      <c r="E50"/>
      <c r="F50" s="214"/>
    </row>
    <row r="51" spans="1:6" ht="12.75">
      <c r="A51" s="101" t="s">
        <v>589</v>
      </c>
      <c r="B51" s="296">
        <v>3538871</v>
      </c>
      <c r="C51" s="296">
        <v>3510993</v>
      </c>
      <c r="D51" s="244"/>
      <c r="E51" s="322"/>
      <c r="F51" s="214"/>
    </row>
    <row r="52" spans="1:6" ht="15">
      <c r="A52" s="101" t="s">
        <v>187</v>
      </c>
      <c r="B52" s="296">
        <v>711120</v>
      </c>
      <c r="C52" s="296">
        <v>1167699</v>
      </c>
      <c r="D52" s="546"/>
      <c r="E52" s="322"/>
      <c r="F52" s="214"/>
    </row>
    <row r="53" spans="1:6" ht="12.75">
      <c r="A53" s="101" t="s">
        <v>623</v>
      </c>
      <c r="B53" s="296"/>
      <c r="C53" s="296"/>
      <c r="D53" s="322"/>
      <c r="E53" s="243"/>
      <c r="F53" s="214"/>
    </row>
    <row r="54" spans="1:6" ht="14.25">
      <c r="A54" s="101" t="s">
        <v>188</v>
      </c>
      <c r="B54" s="296">
        <v>127783</v>
      </c>
      <c r="C54" s="296">
        <v>122590</v>
      </c>
      <c r="D54" s="339"/>
      <c r="E54"/>
      <c r="F54" s="214"/>
    </row>
    <row r="55" spans="1:6" ht="14.25">
      <c r="A55" s="101" t="s">
        <v>189</v>
      </c>
      <c r="B55" s="296">
        <v>4684</v>
      </c>
      <c r="C55" s="296">
        <v>0</v>
      </c>
      <c r="D55" s="339"/>
      <c r="E55"/>
      <c r="F55" s="214"/>
    </row>
    <row r="56" spans="1:6" ht="14.25">
      <c r="A56" s="101" t="s">
        <v>744</v>
      </c>
      <c r="B56" s="296">
        <v>55131</v>
      </c>
      <c r="C56" s="296">
        <v>8516</v>
      </c>
      <c r="D56" s="339"/>
      <c r="E56"/>
      <c r="F56" s="214"/>
    </row>
    <row r="57" spans="1:6" ht="14.25">
      <c r="A57" s="101" t="s">
        <v>30</v>
      </c>
      <c r="B57" s="296">
        <v>1100</v>
      </c>
      <c r="C57" s="296">
        <v>44384</v>
      </c>
      <c r="D57" s="339"/>
      <c r="E57"/>
      <c r="F57" s="214"/>
    </row>
    <row r="58" spans="1:6" ht="14.25">
      <c r="A58" s="101" t="s">
        <v>146</v>
      </c>
      <c r="B58" s="296">
        <v>-1</v>
      </c>
      <c r="C58" s="296"/>
      <c r="D58" s="339"/>
      <c r="E58"/>
      <c r="F58" s="214"/>
    </row>
    <row r="59" spans="1:6" ht="13.5" thickBot="1">
      <c r="A59" s="400" t="s">
        <v>348</v>
      </c>
      <c r="B59" s="399">
        <f>SUM(B5:B57)</f>
        <v>438139708.00000006</v>
      </c>
      <c r="C59" s="481">
        <f>SUM(C4:C58)</f>
        <v>423499908</v>
      </c>
      <c r="D59" s="233"/>
      <c r="E59"/>
      <c r="F59" s="214"/>
    </row>
    <row r="60" spans="3:6" ht="12.75">
      <c r="C60" s="416"/>
      <c r="D60"/>
      <c r="E60"/>
      <c r="F60" s="214"/>
    </row>
    <row r="61" spans="2:6" s="300" customFormat="1" ht="12.75">
      <c r="B61" s="354"/>
      <c r="C61" s="642"/>
      <c r="D61" s="298"/>
      <c r="E61" s="298"/>
      <c r="F61" s="299"/>
    </row>
    <row r="62" spans="1:6" ht="12.75">
      <c r="A62" s="479"/>
      <c r="D62" s="214"/>
      <c r="E62" s="214"/>
      <c r="F62" s="214"/>
    </row>
    <row r="63" spans="4:6" ht="12.75">
      <c r="D63" s="214"/>
      <c r="E63" s="214"/>
      <c r="F63" s="214"/>
    </row>
    <row r="64" spans="1:6" ht="12.75">
      <c r="A64" s="478"/>
      <c r="D64" s="214"/>
      <c r="E64" s="214"/>
      <c r="F64" s="214"/>
    </row>
    <row r="65" spans="4:6" ht="12.75">
      <c r="D65" s="214"/>
      <c r="E65" s="214"/>
      <c r="F65" s="214"/>
    </row>
    <row r="66" spans="4:6" ht="12.75">
      <c r="D66" s="214"/>
      <c r="E66" s="214"/>
      <c r="F66" s="214"/>
    </row>
    <row r="67" spans="4:6" ht="12.75">
      <c r="D67" s="214"/>
      <c r="E67" s="214"/>
      <c r="F67" s="214"/>
    </row>
    <row r="68" spans="4:6" ht="12.75">
      <c r="D68" s="214"/>
      <c r="E68" s="214"/>
      <c r="F68" s="214"/>
    </row>
    <row r="69" spans="4:6" ht="12.75">
      <c r="D69" s="214"/>
      <c r="E69" s="214"/>
      <c r="F69" s="214"/>
    </row>
    <row r="70" spans="4:6" ht="12.75">
      <c r="D70" s="214"/>
      <c r="E70" s="214"/>
      <c r="F70" s="214"/>
    </row>
    <row r="71" spans="4:6" ht="12.75">
      <c r="D71" s="214"/>
      <c r="E71" s="214"/>
      <c r="F71" s="214"/>
    </row>
    <row r="72" spans="4:6" ht="12.75">
      <c r="D72" s="214"/>
      <c r="E72" s="214"/>
      <c r="F72" s="214"/>
    </row>
    <row r="73" spans="4:6" ht="12.75">
      <c r="D73" s="214"/>
      <c r="E73" s="214"/>
      <c r="F73" s="214"/>
    </row>
    <row r="74" spans="4:6" ht="12.75">
      <c r="D74" s="214"/>
      <c r="E74" s="214"/>
      <c r="F74" s="214"/>
    </row>
    <row r="75" spans="4:6" ht="12.75">
      <c r="D75" s="214"/>
      <c r="E75" s="214"/>
      <c r="F75" s="214"/>
    </row>
    <row r="76" spans="4:6" ht="12.75">
      <c r="D76" s="214"/>
      <c r="E76" s="214"/>
      <c r="F76" s="214"/>
    </row>
    <row r="77" spans="4:6" ht="12.75">
      <c r="D77" s="214"/>
      <c r="E77" s="214"/>
      <c r="F77" s="214"/>
    </row>
    <row r="78" spans="4:6" ht="12.75">
      <c r="D78" s="214"/>
      <c r="E78" s="214"/>
      <c r="F78" s="214"/>
    </row>
    <row r="79" spans="4:6" ht="12.75">
      <c r="D79" s="214"/>
      <c r="E79" s="214"/>
      <c r="F79" s="214"/>
    </row>
    <row r="80" spans="4:6" ht="12.75">
      <c r="D80" s="214"/>
      <c r="E80" s="214"/>
      <c r="F80" s="214"/>
    </row>
    <row r="81" spans="4:6" ht="12.75">
      <c r="D81" s="214"/>
      <c r="E81" s="214"/>
      <c r="F81" s="214"/>
    </row>
    <row r="82" spans="4:6" ht="12.75">
      <c r="D82" s="214"/>
      <c r="E82" s="214"/>
      <c r="F82" s="214"/>
    </row>
    <row r="83" spans="4:6" ht="12.75">
      <c r="D83" s="214"/>
      <c r="E83" s="214"/>
      <c r="F83" s="214"/>
    </row>
    <row r="84" spans="4:6" ht="12.75">
      <c r="D84" s="214"/>
      <c r="E84" s="214"/>
      <c r="F84" s="214"/>
    </row>
    <row r="85" spans="4:6" ht="12.75">
      <c r="D85" s="214"/>
      <c r="E85" s="214"/>
      <c r="F85" s="214"/>
    </row>
    <row r="86" spans="4:6" ht="12.75">
      <c r="D86" s="214"/>
      <c r="E86" s="214"/>
      <c r="F86" s="214"/>
    </row>
    <row r="87" spans="4:6" ht="12.75">
      <c r="D87" s="214"/>
      <c r="E87" s="214"/>
      <c r="F87" s="214"/>
    </row>
    <row r="88" spans="4:6" ht="12.75">
      <c r="D88" s="214"/>
      <c r="E88" s="214"/>
      <c r="F88" s="214"/>
    </row>
    <row r="89" spans="4:6" ht="12.75">
      <c r="D89" s="214"/>
      <c r="E89" s="214"/>
      <c r="F89" s="214"/>
    </row>
    <row r="90" spans="4:6" ht="12.75">
      <c r="D90" s="214"/>
      <c r="E90" s="214"/>
      <c r="F90" s="214"/>
    </row>
    <row r="91" spans="4:6" ht="12.75">
      <c r="D91" s="214"/>
      <c r="E91" s="214"/>
      <c r="F91" s="214"/>
    </row>
    <row r="92" spans="4:6" ht="12.75">
      <c r="D92" s="214"/>
      <c r="E92" s="214"/>
      <c r="F92" s="214"/>
    </row>
    <row r="93" spans="4:6" ht="12.75">
      <c r="D93" s="214"/>
      <c r="E93" s="214"/>
      <c r="F93" s="214"/>
    </row>
    <row r="94" spans="4:6" ht="12.75">
      <c r="D94" s="214"/>
      <c r="E94" s="214"/>
      <c r="F94" s="214"/>
    </row>
    <row r="95" spans="4:6" ht="12.75">
      <c r="D95" s="214"/>
      <c r="E95" s="214"/>
      <c r="F95" s="214"/>
    </row>
    <row r="96" spans="4:6" ht="12.75">
      <c r="D96" s="214"/>
      <c r="E96" s="214"/>
      <c r="F96" s="214"/>
    </row>
    <row r="97" spans="4:6" ht="12.75">
      <c r="D97" s="214"/>
      <c r="E97" s="214"/>
      <c r="F97" s="214"/>
    </row>
    <row r="98" spans="4:6" ht="12.75">
      <c r="D98" s="214"/>
      <c r="E98" s="214"/>
      <c r="F98" s="214"/>
    </row>
    <row r="99" spans="4:6" ht="12.75">
      <c r="D99" s="214"/>
      <c r="E99" s="214"/>
      <c r="F99" s="214"/>
    </row>
    <row r="100" spans="4:6" ht="12.75">
      <c r="D100" s="214"/>
      <c r="E100" s="214"/>
      <c r="F100" s="214"/>
    </row>
    <row r="101" spans="4:6" ht="12.75">
      <c r="D101" s="214"/>
      <c r="E101" s="214"/>
      <c r="F101" s="214"/>
    </row>
    <row r="102" spans="4:6" ht="12.75">
      <c r="D102" s="214"/>
      <c r="E102" s="214"/>
      <c r="F102" s="214"/>
    </row>
    <row r="103" spans="4:6" ht="12.75">
      <c r="D103" s="214"/>
      <c r="E103" s="214"/>
      <c r="F103" s="214"/>
    </row>
    <row r="104" spans="4:6" ht="12.75">
      <c r="D104" s="214"/>
      <c r="E104" s="214"/>
      <c r="F104" s="214"/>
    </row>
    <row r="105" spans="4:6" ht="12.75">
      <c r="D105" s="214"/>
      <c r="E105" s="214"/>
      <c r="F105" s="214"/>
    </row>
    <row r="106" spans="4:6" ht="12.75">
      <c r="D106" s="214"/>
      <c r="E106" s="214"/>
      <c r="F106" s="214"/>
    </row>
    <row r="107" spans="4:6" ht="12.75">
      <c r="D107" s="214"/>
      <c r="E107" s="214"/>
      <c r="F107" s="214"/>
    </row>
    <row r="108" spans="4:6" ht="12.75">
      <c r="D108" s="214"/>
      <c r="E108" s="214"/>
      <c r="F108" s="214"/>
    </row>
    <row r="109" spans="4:6" ht="12.75">
      <c r="D109" s="214"/>
      <c r="E109" s="214"/>
      <c r="F109" s="214"/>
    </row>
    <row r="110" spans="4:6" ht="12.75">
      <c r="D110" s="214"/>
      <c r="E110" s="214"/>
      <c r="F110" s="214"/>
    </row>
    <row r="111" spans="4:6" ht="12.75">
      <c r="D111" s="214"/>
      <c r="E111" s="214"/>
      <c r="F111" s="214"/>
    </row>
    <row r="112" spans="4:6" ht="12.75">
      <c r="D112" s="214"/>
      <c r="E112" s="214"/>
      <c r="F112" s="214"/>
    </row>
    <row r="113" spans="4:6" ht="12.75">
      <c r="D113" s="214"/>
      <c r="E113" s="214"/>
      <c r="F113" s="214"/>
    </row>
    <row r="114" spans="4:6" ht="12.75">
      <c r="D114" s="214"/>
      <c r="E114" s="214"/>
      <c r="F114" s="214"/>
    </row>
    <row r="115" spans="4:6" ht="12.75">
      <c r="D115" s="214"/>
      <c r="E115" s="214"/>
      <c r="F115" s="214"/>
    </row>
    <row r="116" spans="4:6" ht="12.75">
      <c r="D116" s="214"/>
      <c r="E116" s="214"/>
      <c r="F116" s="214"/>
    </row>
    <row r="117" spans="4:6" ht="12.75">
      <c r="D117" s="214"/>
      <c r="E117" s="214"/>
      <c r="F117" s="214"/>
    </row>
    <row r="118" spans="4:6" ht="12.75">
      <c r="D118" s="214"/>
      <c r="E118" s="214"/>
      <c r="F118" s="214"/>
    </row>
    <row r="119" spans="4:6" ht="12.75">
      <c r="D119" s="214"/>
      <c r="E119" s="214"/>
      <c r="F119" s="214"/>
    </row>
    <row r="120" spans="4:6" ht="12.75">
      <c r="D120" s="214"/>
      <c r="E120" s="214"/>
      <c r="F120" s="214"/>
    </row>
    <row r="121" spans="4:6" ht="12.75">
      <c r="D121" s="214"/>
      <c r="E121" s="214"/>
      <c r="F121" s="214"/>
    </row>
    <row r="122" spans="4:6" ht="12.75">
      <c r="D122" s="214"/>
      <c r="E122" s="214"/>
      <c r="F122" s="214"/>
    </row>
    <row r="123" spans="4:6" ht="12.75">
      <c r="D123" s="214"/>
      <c r="E123" s="214"/>
      <c r="F123" s="214"/>
    </row>
    <row r="124" spans="4:6" ht="12.75">
      <c r="D124" s="214"/>
      <c r="E124" s="214"/>
      <c r="F124" s="214"/>
    </row>
    <row r="125" spans="4:6" ht="12.75">
      <c r="D125" s="214"/>
      <c r="E125" s="214"/>
      <c r="F125" s="214"/>
    </row>
    <row r="126" spans="4:6" ht="12.75">
      <c r="D126" s="214"/>
      <c r="E126" s="214"/>
      <c r="F126" s="214"/>
    </row>
    <row r="127" spans="4:6" ht="12.75">
      <c r="D127" s="214"/>
      <c r="E127" s="214"/>
      <c r="F127" s="214"/>
    </row>
    <row r="128" spans="4:6" ht="12.75">
      <c r="D128" s="214"/>
      <c r="E128" s="214"/>
      <c r="F128" s="214"/>
    </row>
    <row r="129" spans="4:6" ht="12.75">
      <c r="D129" s="214"/>
      <c r="E129" s="214"/>
      <c r="F129" s="214"/>
    </row>
    <row r="130" spans="4:6" ht="12.75">
      <c r="D130" s="214"/>
      <c r="E130" s="214"/>
      <c r="F130" s="214"/>
    </row>
    <row r="131" spans="4:6" ht="12.75">
      <c r="D131" s="214"/>
      <c r="E131" s="214"/>
      <c r="F131" s="214"/>
    </row>
    <row r="132" spans="4:6" ht="12.75">
      <c r="D132" s="214"/>
      <c r="E132" s="214"/>
      <c r="F132" s="214"/>
    </row>
    <row r="133" spans="4:6" ht="12.75">
      <c r="D133" s="214"/>
      <c r="E133" s="214"/>
      <c r="F133" s="214"/>
    </row>
    <row r="134" spans="4:6" ht="12.75">
      <c r="D134" s="214"/>
      <c r="E134" s="214"/>
      <c r="F134" s="214"/>
    </row>
    <row r="135" spans="4:6" ht="12.75">
      <c r="D135" s="214"/>
      <c r="E135" s="214"/>
      <c r="F135" s="214"/>
    </row>
    <row r="136" spans="4:6" ht="12.75">
      <c r="D136" s="214"/>
      <c r="E136" s="214"/>
      <c r="F136" s="214"/>
    </row>
    <row r="137" spans="4:6" ht="12.75">
      <c r="D137" s="214"/>
      <c r="E137" s="214"/>
      <c r="F137" s="214"/>
    </row>
    <row r="138" spans="4:6" ht="12.75">
      <c r="D138" s="214"/>
      <c r="E138" s="214"/>
      <c r="F138" s="214"/>
    </row>
    <row r="139" spans="4:6" ht="12.75">
      <c r="D139" s="214"/>
      <c r="E139" s="214"/>
      <c r="F139" s="214"/>
    </row>
    <row r="140" spans="4:6" ht="12.75">
      <c r="D140" s="214"/>
      <c r="E140" s="214"/>
      <c r="F140" s="214"/>
    </row>
    <row r="141" spans="4:6" ht="12.75">
      <c r="D141" s="214"/>
      <c r="E141" s="214"/>
      <c r="F141" s="214"/>
    </row>
    <row r="142" spans="4:6" ht="12.75">
      <c r="D142" s="214"/>
      <c r="E142" s="214"/>
      <c r="F142" s="214"/>
    </row>
    <row r="143" spans="4:6" ht="12.75">
      <c r="D143" s="214"/>
      <c r="E143" s="214"/>
      <c r="F143" s="214"/>
    </row>
    <row r="144" spans="4:6" ht="12.75">
      <c r="D144" s="214"/>
      <c r="E144" s="214"/>
      <c r="F144" s="214"/>
    </row>
    <row r="145" spans="4:6" ht="12.75">
      <c r="D145" s="214"/>
      <c r="E145" s="214"/>
      <c r="F145" s="214"/>
    </row>
    <row r="146" spans="4:6" ht="12.75">
      <c r="D146" s="214"/>
      <c r="E146" s="214"/>
      <c r="F146" s="214"/>
    </row>
    <row r="147" spans="4:6" ht="12.75">
      <c r="D147" s="214"/>
      <c r="E147" s="214"/>
      <c r="F147" s="214"/>
    </row>
    <row r="148" spans="4:6" ht="12.75">
      <c r="D148" s="214"/>
      <c r="E148" s="214"/>
      <c r="F148" s="214"/>
    </row>
    <row r="149" spans="4:6" ht="12.75">
      <c r="D149" s="214"/>
      <c r="E149" s="214"/>
      <c r="F149" s="214"/>
    </row>
    <row r="150" spans="4:6" ht="12.75">
      <c r="D150" s="214"/>
      <c r="E150" s="214"/>
      <c r="F150" s="214"/>
    </row>
    <row r="151" spans="4:6" ht="12.75">
      <c r="D151" s="214"/>
      <c r="E151" s="214"/>
      <c r="F151" s="214"/>
    </row>
    <row r="152" spans="4:6" ht="12.75">
      <c r="D152" s="214"/>
      <c r="E152" s="214"/>
      <c r="F152" s="214"/>
    </row>
    <row r="153" spans="4:6" ht="12.75">
      <c r="D153" s="214"/>
      <c r="E153" s="214"/>
      <c r="F153" s="214"/>
    </row>
    <row r="154" spans="4:6" ht="12.75">
      <c r="D154" s="214"/>
      <c r="E154" s="214"/>
      <c r="F154" s="214"/>
    </row>
    <row r="155" spans="4:6" ht="12.75">
      <c r="D155" s="214"/>
      <c r="E155" s="214"/>
      <c r="F155" s="214"/>
    </row>
    <row r="156" spans="4:6" ht="12.75">
      <c r="D156" s="214"/>
      <c r="E156" s="214"/>
      <c r="F156" s="214"/>
    </row>
    <row r="157" spans="4:6" ht="12.75">
      <c r="D157" s="214"/>
      <c r="E157" s="214"/>
      <c r="F157" s="214"/>
    </row>
    <row r="158" spans="4:6" ht="12.75">
      <c r="D158" s="214"/>
      <c r="E158" s="214"/>
      <c r="F158" s="214"/>
    </row>
    <row r="159" spans="4:6" ht="12.75">
      <c r="D159" s="214"/>
      <c r="E159" s="214"/>
      <c r="F159" s="214"/>
    </row>
    <row r="160" spans="4:6" ht="12.75">
      <c r="D160" s="214"/>
      <c r="E160" s="214"/>
      <c r="F160" s="214"/>
    </row>
    <row r="161" spans="4:6" ht="12.75">
      <c r="D161" s="214"/>
      <c r="E161" s="214"/>
      <c r="F161" s="214"/>
    </row>
    <row r="162" spans="4:6" ht="12.75">
      <c r="D162" s="214"/>
      <c r="E162" s="214"/>
      <c r="F162" s="214"/>
    </row>
    <row r="163" spans="4:6" ht="12.75">
      <c r="D163" s="214"/>
      <c r="E163" s="214"/>
      <c r="F163" s="214"/>
    </row>
    <row r="164" spans="4:6" ht="12.75">
      <c r="D164" s="214"/>
      <c r="E164" s="214"/>
      <c r="F164" s="214"/>
    </row>
    <row r="165" spans="4:6" ht="12.75">
      <c r="D165" s="214"/>
      <c r="E165" s="214"/>
      <c r="F165" s="214"/>
    </row>
    <row r="166" spans="4:6" ht="12.75">
      <c r="D166" s="214"/>
      <c r="E166" s="214"/>
      <c r="F166" s="214"/>
    </row>
    <row r="167" spans="4:6" ht="12.75">
      <c r="D167" s="214"/>
      <c r="E167" s="214"/>
      <c r="F167" s="214"/>
    </row>
    <row r="168" spans="4:6" ht="12.75">
      <c r="D168" s="214"/>
      <c r="E168" s="214"/>
      <c r="F168" s="214"/>
    </row>
    <row r="169" spans="4:6" ht="12.75">
      <c r="D169" s="214"/>
      <c r="E169" s="214"/>
      <c r="F169" s="214"/>
    </row>
    <row r="170" spans="4:6" ht="12.75">
      <c r="D170" s="214"/>
      <c r="E170" s="214"/>
      <c r="F170" s="214"/>
    </row>
    <row r="171" spans="4:6" ht="12.75">
      <c r="D171" s="214"/>
      <c r="E171" s="214"/>
      <c r="F171" s="214"/>
    </row>
    <row r="172" spans="4:6" ht="12.75">
      <c r="D172" s="214"/>
      <c r="E172" s="214"/>
      <c r="F172" s="214"/>
    </row>
    <row r="173" spans="4:6" ht="12.75">
      <c r="D173" s="214"/>
      <c r="E173" s="214"/>
      <c r="F173" s="214"/>
    </row>
    <row r="174" spans="4:6" ht="12.75">
      <c r="D174" s="214"/>
      <c r="E174" s="214"/>
      <c r="F174" s="214"/>
    </row>
    <row r="175" spans="4:6" ht="12.75">
      <c r="D175" s="214"/>
      <c r="E175" s="214"/>
      <c r="F175" s="214"/>
    </row>
    <row r="176" spans="4:6" ht="12.75">
      <c r="D176" s="214"/>
      <c r="E176" s="214"/>
      <c r="F176" s="214"/>
    </row>
    <row r="177" spans="4:6" ht="12.75">
      <c r="D177" s="214"/>
      <c r="E177" s="214"/>
      <c r="F177" s="214"/>
    </row>
    <row r="178" spans="4:6" ht="12.75">
      <c r="D178" s="214"/>
      <c r="E178" s="214"/>
      <c r="F178" s="214"/>
    </row>
    <row r="179" spans="4:6" ht="12.75">
      <c r="D179" s="214"/>
      <c r="E179" s="214"/>
      <c r="F179" s="214"/>
    </row>
    <row r="180" spans="4:6" ht="12.75">
      <c r="D180" s="214"/>
      <c r="E180" s="214"/>
      <c r="F180" s="214"/>
    </row>
    <row r="181" spans="4:6" ht="12.75">
      <c r="D181" s="214"/>
      <c r="E181" s="214"/>
      <c r="F181" s="214"/>
    </row>
    <row r="182" spans="4:6" ht="12.75">
      <c r="D182" s="214"/>
      <c r="E182" s="214"/>
      <c r="F182" s="214"/>
    </row>
    <row r="183" spans="4:6" ht="12.75">
      <c r="D183" s="214"/>
      <c r="E183" s="214"/>
      <c r="F183" s="214"/>
    </row>
    <row r="184" spans="4:6" ht="12.75">
      <c r="D184" s="214"/>
      <c r="E184" s="214"/>
      <c r="F184" s="214"/>
    </row>
    <row r="185" spans="4:6" ht="12.75">
      <c r="D185" s="214"/>
      <c r="E185" s="214"/>
      <c r="F185" s="214"/>
    </row>
    <row r="186" spans="4:6" ht="12.75">
      <c r="D186" s="214"/>
      <c r="E186" s="214"/>
      <c r="F186" s="214"/>
    </row>
    <row r="187" spans="4:6" ht="12.75">
      <c r="D187" s="214"/>
      <c r="E187" s="214"/>
      <c r="F187" s="214"/>
    </row>
    <row r="188" spans="4:6" ht="12.75">
      <c r="D188" s="214"/>
      <c r="E188" s="214"/>
      <c r="F188" s="214"/>
    </row>
    <row r="189" spans="4:6" ht="12.75">
      <c r="D189" s="214"/>
      <c r="E189" s="214"/>
      <c r="F189" s="214"/>
    </row>
    <row r="190" spans="4:6" ht="12.75">
      <c r="D190" s="214"/>
      <c r="E190" s="214"/>
      <c r="F190" s="214"/>
    </row>
    <row r="191" spans="4:6" ht="12.75">
      <c r="D191" s="214"/>
      <c r="E191" s="214"/>
      <c r="F191" s="214"/>
    </row>
    <row r="192" spans="4:6" ht="12.75">
      <c r="D192" s="214"/>
      <c r="E192" s="214"/>
      <c r="F192" s="214"/>
    </row>
    <row r="193" spans="4:6" ht="12.75">
      <c r="D193" s="214"/>
      <c r="E193" s="214"/>
      <c r="F193" s="214"/>
    </row>
    <row r="194" spans="4:6" ht="12.75">
      <c r="D194" s="214"/>
      <c r="E194" s="214"/>
      <c r="F194" s="214"/>
    </row>
    <row r="195" spans="4:6" ht="12.75">
      <c r="D195" s="214"/>
      <c r="E195" s="214"/>
      <c r="F195" s="214"/>
    </row>
    <row r="196" spans="4:6" ht="12.75">
      <c r="D196" s="214"/>
      <c r="E196" s="214"/>
      <c r="F196" s="214"/>
    </row>
    <row r="197" spans="4:6" ht="12.75">
      <c r="D197" s="214"/>
      <c r="E197" s="214"/>
      <c r="F197" s="214"/>
    </row>
    <row r="198" spans="4:6" ht="12.75">
      <c r="D198" s="214"/>
      <c r="E198" s="214"/>
      <c r="F198" s="214"/>
    </row>
    <row r="199" spans="4:6" ht="12.75">
      <c r="D199" s="214"/>
      <c r="E199" s="214"/>
      <c r="F199" s="214"/>
    </row>
    <row r="200" spans="4:6" ht="12.75">
      <c r="D200" s="214"/>
      <c r="E200" s="214"/>
      <c r="F200" s="214"/>
    </row>
    <row r="201" spans="4:6" ht="12.75">
      <c r="D201" s="214"/>
      <c r="E201" s="214"/>
      <c r="F201" s="214"/>
    </row>
    <row r="202" spans="4:6" ht="12.75">
      <c r="D202" s="214"/>
      <c r="E202" s="214"/>
      <c r="F202" s="214"/>
    </row>
    <row r="203" spans="4:6" ht="12.75">
      <c r="D203" s="214"/>
      <c r="E203" s="214"/>
      <c r="F203" s="214"/>
    </row>
    <row r="204" spans="4:6" ht="12.75">
      <c r="D204" s="214"/>
      <c r="E204" s="214"/>
      <c r="F204" s="214"/>
    </row>
    <row r="205" spans="4:6" ht="12.75">
      <c r="D205" s="214"/>
      <c r="E205" s="214"/>
      <c r="F205" s="214"/>
    </row>
    <row r="206" spans="4:6" ht="12.75">
      <c r="D206" s="214"/>
      <c r="E206" s="214"/>
      <c r="F206" s="214"/>
    </row>
    <row r="207" spans="4:6" ht="12.75">
      <c r="D207" s="214"/>
      <c r="E207" s="214"/>
      <c r="F207" s="214"/>
    </row>
    <row r="208" spans="4:6" ht="12.75">
      <c r="D208" s="214"/>
      <c r="E208" s="214"/>
      <c r="F208" s="214"/>
    </row>
    <row r="209" spans="4:6" ht="12.75">
      <c r="D209" s="214"/>
      <c r="E209" s="214"/>
      <c r="F209" s="214"/>
    </row>
    <row r="210" spans="4:6" ht="12.75">
      <c r="D210" s="214"/>
      <c r="E210" s="214"/>
      <c r="F210" s="214"/>
    </row>
    <row r="211" spans="4:6" ht="12.75">
      <c r="D211" s="214"/>
      <c r="E211" s="214"/>
      <c r="F211" s="214"/>
    </row>
    <row r="212" spans="4:6" ht="12.75">
      <c r="D212" s="214"/>
      <c r="E212" s="214"/>
      <c r="F212" s="214"/>
    </row>
    <row r="213" spans="4:6" ht="12.75">
      <c r="D213" s="214"/>
      <c r="E213" s="214"/>
      <c r="F213" s="214"/>
    </row>
    <row r="214" spans="4:6" ht="12.75">
      <c r="D214" s="214"/>
      <c r="E214" s="214"/>
      <c r="F214" s="214"/>
    </row>
    <row r="215" spans="4:6" ht="12.75">
      <c r="D215" s="214"/>
      <c r="E215" s="214"/>
      <c r="F215" s="214"/>
    </row>
    <row r="216" spans="4:6" ht="12.75">
      <c r="D216" s="214"/>
      <c r="E216" s="214"/>
      <c r="F216" s="214"/>
    </row>
    <row r="217" spans="4:6" ht="12.75">
      <c r="D217" s="214"/>
      <c r="E217" s="214"/>
      <c r="F217" s="214"/>
    </row>
    <row r="218" spans="4:6" ht="12.75">
      <c r="D218" s="214"/>
      <c r="E218" s="214"/>
      <c r="F218" s="214"/>
    </row>
    <row r="219" spans="4:6" ht="12.75">
      <c r="D219" s="214"/>
      <c r="E219" s="214"/>
      <c r="F219" s="214"/>
    </row>
    <row r="220" spans="4:6" ht="12.75">
      <c r="D220" s="214"/>
      <c r="E220" s="214"/>
      <c r="F220" s="214"/>
    </row>
    <row r="221" spans="4:6" ht="12.75">
      <c r="D221" s="214"/>
      <c r="E221" s="214"/>
      <c r="F221" s="214"/>
    </row>
    <row r="222" spans="4:6" ht="12.75">
      <c r="D222" s="214"/>
      <c r="E222" s="214"/>
      <c r="F222" s="214"/>
    </row>
    <row r="223" spans="4:6" ht="12.75">
      <c r="D223" s="214"/>
      <c r="E223" s="214"/>
      <c r="F223" s="214"/>
    </row>
    <row r="224" spans="4:6" ht="12.75">
      <c r="D224" s="214"/>
      <c r="E224" s="214"/>
      <c r="F224" s="214"/>
    </row>
    <row r="225" spans="4:6" ht="12.75">
      <c r="D225" s="214"/>
      <c r="E225" s="214"/>
      <c r="F225" s="214"/>
    </row>
    <row r="226" spans="4:6" ht="12.75">
      <c r="D226" s="214"/>
      <c r="E226" s="214"/>
      <c r="F226" s="214"/>
    </row>
    <row r="227" spans="4:6" ht="12.75">
      <c r="D227" s="214"/>
      <c r="E227" s="214"/>
      <c r="F227" s="214"/>
    </row>
    <row r="228" spans="4:6" ht="12.75">
      <c r="D228" s="214"/>
      <c r="E228" s="214"/>
      <c r="F228" s="214"/>
    </row>
    <row r="229" spans="4:6" ht="12.75">
      <c r="D229" s="214"/>
      <c r="E229" s="214"/>
      <c r="F229" s="214"/>
    </row>
    <row r="230" spans="4:6" ht="12.75">
      <c r="D230" s="214"/>
      <c r="E230" s="214"/>
      <c r="F230" s="214"/>
    </row>
    <row r="231" spans="4:6" ht="12.75">
      <c r="D231" s="214"/>
      <c r="E231" s="214"/>
      <c r="F231" s="214"/>
    </row>
    <row r="232" spans="4:6" ht="12.75">
      <c r="D232" s="214"/>
      <c r="E232" s="214"/>
      <c r="F232" s="214"/>
    </row>
    <row r="233" spans="4:6" ht="12.75">
      <c r="D233" s="214"/>
      <c r="E233" s="214"/>
      <c r="F233" s="214"/>
    </row>
    <row r="234" spans="4:6" ht="12.75">
      <c r="D234" s="214"/>
      <c r="E234" s="214"/>
      <c r="F234" s="214"/>
    </row>
    <row r="235" spans="4:6" ht="12.75">
      <c r="D235" s="214"/>
      <c r="E235" s="214"/>
      <c r="F235" s="214"/>
    </row>
    <row r="236" spans="4:6" ht="12.75">
      <c r="D236" s="214"/>
      <c r="E236" s="214"/>
      <c r="F236" s="214"/>
    </row>
    <row r="237" spans="4:6" ht="12.75">
      <c r="D237" s="214"/>
      <c r="E237" s="214"/>
      <c r="F237" s="214"/>
    </row>
    <row r="238" spans="4:6" ht="12.75">
      <c r="D238" s="214"/>
      <c r="E238" s="214"/>
      <c r="F238" s="214"/>
    </row>
    <row r="239" spans="4:6" ht="12.75">
      <c r="D239" s="214"/>
      <c r="E239" s="214"/>
      <c r="F239" s="214"/>
    </row>
    <row r="240" spans="4:6" ht="12.75">
      <c r="D240" s="214"/>
      <c r="E240" s="214"/>
      <c r="F240" s="214"/>
    </row>
    <row r="241" spans="4:6" ht="12.75">
      <c r="D241" s="214"/>
      <c r="E241" s="214"/>
      <c r="F241" s="214"/>
    </row>
    <row r="242" spans="4:6" ht="12.75">
      <c r="D242" s="214"/>
      <c r="E242" s="214"/>
      <c r="F242" s="214"/>
    </row>
    <row r="243" spans="4:6" ht="12.75">
      <c r="D243" s="214"/>
      <c r="E243" s="214"/>
      <c r="F243" s="214"/>
    </row>
    <row r="244" spans="4:6" ht="12.75">
      <c r="D244" s="214"/>
      <c r="E244" s="214"/>
      <c r="F244" s="214"/>
    </row>
    <row r="245" spans="4:6" ht="12.75">
      <c r="D245" s="214"/>
      <c r="E245" s="214"/>
      <c r="F245" s="214"/>
    </row>
    <row r="246" spans="4:6" ht="12.75">
      <c r="D246" s="214"/>
      <c r="E246" s="214"/>
      <c r="F246" s="214"/>
    </row>
    <row r="247" spans="4:6" ht="12.75">
      <c r="D247" s="214"/>
      <c r="E247" s="214"/>
      <c r="F247" s="214"/>
    </row>
    <row r="248" spans="4:6" ht="12.75">
      <c r="D248" s="214"/>
      <c r="E248" s="214"/>
      <c r="F248" s="214"/>
    </row>
    <row r="249" spans="4:6" ht="12.75">
      <c r="D249" s="214"/>
      <c r="E249" s="214"/>
      <c r="F249" s="214"/>
    </row>
    <row r="250" spans="4:6" ht="12.75">
      <c r="D250" s="214"/>
      <c r="E250" s="214"/>
      <c r="F250" s="214"/>
    </row>
    <row r="251" spans="4:6" ht="12.75">
      <c r="D251" s="214"/>
      <c r="E251" s="214"/>
      <c r="F251" s="214"/>
    </row>
    <row r="252" spans="4:6" ht="12.75">
      <c r="D252" s="214"/>
      <c r="E252" s="214"/>
      <c r="F252" s="214"/>
    </row>
    <row r="253" spans="4:6" ht="12.75">
      <c r="D253" s="214"/>
      <c r="E253" s="214"/>
      <c r="F253" s="214"/>
    </row>
    <row r="254" spans="4:6" ht="12.75">
      <c r="D254" s="214"/>
      <c r="E254" s="214"/>
      <c r="F254" s="214"/>
    </row>
    <row r="255" spans="4:6" ht="12.75">
      <c r="D255" s="214"/>
      <c r="E255" s="214"/>
      <c r="F255" s="214"/>
    </row>
    <row r="256" spans="4:6" ht="12.75">
      <c r="D256" s="214"/>
      <c r="E256" s="214"/>
      <c r="F256" s="214"/>
    </row>
    <row r="257" spans="4:6" ht="12.75">
      <c r="D257" s="214"/>
      <c r="E257" s="214"/>
      <c r="F257" s="214"/>
    </row>
    <row r="258" spans="4:6" ht="12.75">
      <c r="D258" s="214"/>
      <c r="E258" s="214"/>
      <c r="F258" s="214"/>
    </row>
    <row r="259" spans="4:6" ht="12.75">
      <c r="D259" s="214"/>
      <c r="E259" s="214"/>
      <c r="F259" s="214"/>
    </row>
    <row r="260" spans="4:6" ht="12.75">
      <c r="D260" s="214"/>
      <c r="E260" s="214"/>
      <c r="F260" s="214"/>
    </row>
    <row r="261" spans="4:6" ht="12.75">
      <c r="D261" s="214"/>
      <c r="E261" s="214"/>
      <c r="F261" s="214"/>
    </row>
    <row r="262" spans="4:6" ht="12.75">
      <c r="D262" s="214"/>
      <c r="E262" s="214"/>
      <c r="F262" s="214"/>
    </row>
    <row r="263" spans="4:6" ht="12.75">
      <c r="D263" s="214"/>
      <c r="E263" s="214"/>
      <c r="F263" s="214"/>
    </row>
    <row r="264" spans="4:6" ht="12.75">
      <c r="D264" s="214"/>
      <c r="E264" s="214"/>
      <c r="F264" s="214"/>
    </row>
    <row r="265" spans="4:6" ht="12.75">
      <c r="D265" s="214"/>
      <c r="E265" s="214"/>
      <c r="F265" s="214"/>
    </row>
    <row r="266" spans="4:6" ht="12.75">
      <c r="D266" s="214"/>
      <c r="E266" s="214"/>
      <c r="F266" s="214"/>
    </row>
    <row r="267" spans="4:6" ht="12.75">
      <c r="D267" s="214"/>
      <c r="E267" s="214"/>
      <c r="F267" s="214"/>
    </row>
    <row r="268" spans="4:6" ht="12.75">
      <c r="D268" s="214"/>
      <c r="E268" s="214"/>
      <c r="F268" s="214"/>
    </row>
    <row r="269" spans="4:6" ht="12.75">
      <c r="D269" s="214"/>
      <c r="E269" s="214"/>
      <c r="F269" s="214"/>
    </row>
    <row r="270" spans="4:6" ht="12.75">
      <c r="D270" s="214"/>
      <c r="E270" s="214"/>
      <c r="F270" s="214"/>
    </row>
    <row r="271" spans="4:6" ht="12.75">
      <c r="D271" s="214"/>
      <c r="E271" s="214"/>
      <c r="F271" s="214"/>
    </row>
    <row r="272" spans="4:6" ht="12.75">
      <c r="D272" s="214"/>
      <c r="E272" s="214"/>
      <c r="F272" s="214"/>
    </row>
    <row r="273" spans="4:6" ht="12.75">
      <c r="D273" s="214"/>
      <c r="E273" s="214"/>
      <c r="F273" s="214"/>
    </row>
    <row r="274" spans="4:6" ht="12.75">
      <c r="D274" s="214"/>
      <c r="E274" s="214"/>
      <c r="F274" s="214"/>
    </row>
    <row r="275" spans="4:6" ht="12.75">
      <c r="D275" s="214"/>
      <c r="E275" s="214"/>
      <c r="F275" s="214"/>
    </row>
    <row r="276" spans="4:6" ht="12.75">
      <c r="D276" s="214"/>
      <c r="E276" s="214"/>
      <c r="F276" s="214"/>
    </row>
    <row r="277" spans="4:6" ht="12.75">
      <c r="D277" s="214"/>
      <c r="E277" s="214"/>
      <c r="F277" s="214"/>
    </row>
    <row r="278" spans="4:6" ht="12.75">
      <c r="D278" s="214"/>
      <c r="E278" s="214"/>
      <c r="F278" s="214"/>
    </row>
    <row r="279" spans="4:6" ht="12.75">
      <c r="D279" s="214"/>
      <c r="E279" s="214"/>
      <c r="F279" s="214"/>
    </row>
    <row r="280" spans="4:6" ht="12.75">
      <c r="D280" s="214"/>
      <c r="E280" s="214"/>
      <c r="F280" s="214"/>
    </row>
    <row r="281" spans="4:6" ht="12.75">
      <c r="D281" s="214"/>
      <c r="E281" s="214"/>
      <c r="F281" s="214"/>
    </row>
    <row r="282" spans="4:6" ht="12.75">
      <c r="D282" s="214"/>
      <c r="E282" s="214"/>
      <c r="F282" s="214"/>
    </row>
    <row r="283" spans="4:6" ht="12.75">
      <c r="D283" s="214"/>
      <c r="E283" s="214"/>
      <c r="F283" s="214"/>
    </row>
    <row r="284" spans="4:6" ht="12.75">
      <c r="D284" s="214"/>
      <c r="E284" s="214"/>
      <c r="F284" s="214"/>
    </row>
    <row r="285" spans="4:6" ht="12.75">
      <c r="D285" s="214"/>
      <c r="E285" s="214"/>
      <c r="F285" s="214"/>
    </row>
    <row r="286" spans="4:6" ht="12.75">
      <c r="D286" s="214"/>
      <c r="E286" s="214"/>
      <c r="F286" s="214"/>
    </row>
    <row r="287" spans="4:6" ht="12.75">
      <c r="D287" s="214"/>
      <c r="E287" s="214"/>
      <c r="F287" s="214"/>
    </row>
    <row r="288" spans="4:6" ht="12.75">
      <c r="D288" s="214"/>
      <c r="E288" s="214"/>
      <c r="F288" s="214"/>
    </row>
    <row r="289" spans="4:6" ht="12.75">
      <c r="D289" s="214"/>
      <c r="E289" s="214"/>
      <c r="F289" s="214"/>
    </row>
    <row r="290" spans="4:6" ht="12.75">
      <c r="D290" s="214"/>
      <c r="E290" s="214"/>
      <c r="F290" s="214"/>
    </row>
    <row r="291" spans="4:6" ht="12.75">
      <c r="D291" s="214"/>
      <c r="E291" s="214"/>
      <c r="F291" s="214"/>
    </row>
    <row r="292" spans="4:6" ht="12.75">
      <c r="D292" s="214"/>
      <c r="E292" s="214"/>
      <c r="F292" s="214"/>
    </row>
    <row r="293" spans="4:6" ht="12.75">
      <c r="D293" s="214"/>
      <c r="E293" s="214"/>
      <c r="F293" s="214"/>
    </row>
    <row r="294" spans="4:6" ht="12.75">
      <c r="D294" s="214"/>
      <c r="E294" s="214"/>
      <c r="F294" s="214"/>
    </row>
    <row r="295" spans="4:6" ht="12.75">
      <c r="D295" s="214"/>
      <c r="E295" s="214"/>
      <c r="F295" s="214"/>
    </row>
    <row r="296" spans="4:6" ht="12.75">
      <c r="D296" s="214"/>
      <c r="E296" s="214"/>
      <c r="F296" s="214"/>
    </row>
    <row r="297" spans="4:6" ht="12.75">
      <c r="D297" s="214"/>
      <c r="E297" s="214"/>
      <c r="F297" s="214"/>
    </row>
    <row r="298" spans="4:6" ht="12.75">
      <c r="D298" s="214"/>
      <c r="E298" s="214"/>
      <c r="F298" s="214"/>
    </row>
    <row r="299" spans="4:6" ht="12.75">
      <c r="D299" s="214"/>
      <c r="E299" s="214"/>
      <c r="F299" s="214"/>
    </row>
    <row r="300" spans="4:6" ht="12.75">
      <c r="D300" s="214"/>
      <c r="E300" s="214"/>
      <c r="F300" s="214"/>
    </row>
    <row r="301" spans="4:6" ht="12.75">
      <c r="D301" s="214"/>
      <c r="E301" s="214"/>
      <c r="F301" s="214"/>
    </row>
    <row r="302" spans="4:6" ht="12.75">
      <c r="D302" s="214"/>
      <c r="E302" s="214"/>
      <c r="F302" s="214"/>
    </row>
    <row r="303" spans="4:6" ht="12.75">
      <c r="D303" s="214"/>
      <c r="E303" s="214"/>
      <c r="F303" s="214"/>
    </row>
    <row r="304" spans="4:6" ht="12.75">
      <c r="D304" s="214"/>
      <c r="E304" s="214"/>
      <c r="F304" s="214"/>
    </row>
    <row r="305" spans="4:6" ht="12.75">
      <c r="D305" s="214"/>
      <c r="E305" s="214"/>
      <c r="F305" s="214"/>
    </row>
    <row r="306" spans="4:6" ht="12.75">
      <c r="D306" s="214"/>
      <c r="E306" s="214"/>
      <c r="F306" s="214"/>
    </row>
    <row r="307" spans="4:6" ht="12.75">
      <c r="D307" s="214"/>
      <c r="E307" s="214"/>
      <c r="F307" s="214"/>
    </row>
    <row r="308" spans="4:6" ht="12.75">
      <c r="D308" s="214"/>
      <c r="E308" s="214"/>
      <c r="F308" s="214"/>
    </row>
    <row r="309" spans="4:6" ht="12.75">
      <c r="D309" s="214"/>
      <c r="E309" s="214"/>
      <c r="F309" s="214"/>
    </row>
    <row r="310" spans="4:6" ht="12.75">
      <c r="D310" s="214"/>
      <c r="E310" s="214"/>
      <c r="F310" s="214"/>
    </row>
    <row r="311" spans="4:6" ht="12.75">
      <c r="D311" s="214"/>
      <c r="E311" s="214"/>
      <c r="F311" s="214"/>
    </row>
    <row r="312" spans="4:6" ht="12.75">
      <c r="D312" s="214"/>
      <c r="E312" s="214"/>
      <c r="F312" s="214"/>
    </row>
    <row r="313" spans="4:6" ht="12.75">
      <c r="D313" s="214"/>
      <c r="E313" s="214"/>
      <c r="F313" s="214"/>
    </row>
    <row r="314" spans="4:6" ht="12.75">
      <c r="D314" s="214"/>
      <c r="E314" s="214"/>
      <c r="F314" s="214"/>
    </row>
    <row r="315" spans="4:6" ht="12.75">
      <c r="D315" s="214"/>
      <c r="E315" s="214"/>
      <c r="F315" s="214"/>
    </row>
    <row r="316" spans="4:6" ht="12.75">
      <c r="D316" s="214"/>
      <c r="E316" s="214"/>
      <c r="F316" s="214"/>
    </row>
    <row r="317" spans="4:6" ht="12.75">
      <c r="D317" s="214"/>
      <c r="E317" s="214"/>
      <c r="F317" s="214"/>
    </row>
    <row r="318" spans="4:6" ht="12.75">
      <c r="D318" s="214"/>
      <c r="E318" s="214"/>
      <c r="F318" s="214"/>
    </row>
    <row r="319" spans="4:6" ht="12.75">
      <c r="D319" s="214"/>
      <c r="E319" s="214"/>
      <c r="F319" s="214"/>
    </row>
    <row r="320" spans="4:6" ht="12.75">
      <c r="D320" s="214"/>
      <c r="E320" s="214"/>
      <c r="F320" s="214"/>
    </row>
    <row r="321" spans="4:6" ht="12.75">
      <c r="D321" s="214"/>
      <c r="E321" s="214"/>
      <c r="F321" s="214"/>
    </row>
    <row r="322" spans="4:6" ht="12.75">
      <c r="D322" s="214"/>
      <c r="E322" s="214"/>
      <c r="F322" s="214"/>
    </row>
    <row r="323" spans="4:6" ht="12.75">
      <c r="D323" s="214"/>
      <c r="E323" s="214"/>
      <c r="F323" s="214"/>
    </row>
    <row r="324" spans="4:6" ht="12.75">
      <c r="D324" s="214"/>
      <c r="E324" s="214"/>
      <c r="F324" s="214"/>
    </row>
    <row r="325" spans="4:6" ht="12.75">
      <c r="D325" s="214"/>
      <c r="E325" s="214"/>
      <c r="F325" s="214"/>
    </row>
    <row r="326" spans="4:6" ht="12.75">
      <c r="D326" s="214"/>
      <c r="E326" s="214"/>
      <c r="F326" s="214"/>
    </row>
    <row r="327" spans="4:6" ht="12.75">
      <c r="D327" s="214"/>
      <c r="E327" s="214"/>
      <c r="F327" s="214"/>
    </row>
    <row r="328" spans="4:6" ht="12.75">
      <c r="D328" s="214"/>
      <c r="E328" s="214"/>
      <c r="F328" s="214"/>
    </row>
    <row r="329" spans="4:6" ht="12.75">
      <c r="D329" s="214"/>
      <c r="E329" s="214"/>
      <c r="F329" s="214"/>
    </row>
    <row r="330" spans="4:6" ht="12.75">
      <c r="D330" s="214"/>
      <c r="E330" s="214"/>
      <c r="F330" s="214"/>
    </row>
    <row r="331" spans="4:6" ht="12.75">
      <c r="D331" s="214"/>
      <c r="E331" s="214"/>
      <c r="F331" s="214"/>
    </row>
    <row r="332" spans="4:6" ht="12.75">
      <c r="D332" s="214"/>
      <c r="E332" s="214"/>
      <c r="F332" s="214"/>
    </row>
    <row r="333" spans="4:6" ht="12.75">
      <c r="D333" s="214"/>
      <c r="E333" s="214"/>
      <c r="F333" s="214"/>
    </row>
    <row r="334" spans="4:6" ht="12.75">
      <c r="D334" s="214"/>
      <c r="E334" s="214"/>
      <c r="F334" s="214"/>
    </row>
    <row r="335" spans="4:6" ht="12.75">
      <c r="D335" s="214"/>
      <c r="E335" s="214"/>
      <c r="F335" s="214"/>
    </row>
    <row r="336" spans="4:6" ht="12.75">
      <c r="D336" s="214"/>
      <c r="E336" s="214"/>
      <c r="F336" s="214"/>
    </row>
    <row r="337" spans="4:6" ht="12.75">
      <c r="D337" s="214"/>
      <c r="E337" s="214"/>
      <c r="F337" s="214"/>
    </row>
    <row r="338" spans="4:6" ht="12.75">
      <c r="D338" s="214"/>
      <c r="E338" s="214"/>
      <c r="F338" s="214"/>
    </row>
    <row r="339" spans="4:6" ht="12.75">
      <c r="D339" s="214"/>
      <c r="E339" s="214"/>
      <c r="F339" s="214"/>
    </row>
    <row r="340" spans="4:6" ht="12.75">
      <c r="D340" s="214"/>
      <c r="E340" s="214"/>
      <c r="F340" s="214"/>
    </row>
    <row r="341" spans="4:6" ht="12.75">
      <c r="D341" s="214"/>
      <c r="E341" s="214"/>
      <c r="F341" s="214"/>
    </row>
    <row r="342" spans="4:6" ht="12.75">
      <c r="D342" s="214"/>
      <c r="E342" s="214"/>
      <c r="F342" s="214"/>
    </row>
    <row r="343" spans="4:6" ht="12.75">
      <c r="D343" s="214"/>
      <c r="E343" s="214"/>
      <c r="F343" s="214"/>
    </row>
    <row r="344" spans="4:6" ht="12.75">
      <c r="D344" s="214"/>
      <c r="E344" s="214"/>
      <c r="F344" s="214"/>
    </row>
    <row r="345" spans="4:6" ht="12.75">
      <c r="D345" s="214"/>
      <c r="E345" s="214"/>
      <c r="F345" s="214"/>
    </row>
    <row r="346" spans="4:6" ht="12.75">
      <c r="D346" s="214"/>
      <c r="E346" s="214"/>
      <c r="F346" s="214"/>
    </row>
    <row r="347" spans="4:6" ht="12.75">
      <c r="D347" s="214"/>
      <c r="E347" s="214"/>
      <c r="F347" s="214"/>
    </row>
    <row r="348" spans="4:6" ht="12.75">
      <c r="D348" s="214"/>
      <c r="E348" s="214"/>
      <c r="F348" s="214"/>
    </row>
    <row r="349" spans="4:6" ht="12.75">
      <c r="D349" s="214"/>
      <c r="E349" s="214"/>
      <c r="F349" s="214"/>
    </row>
    <row r="350" spans="4:6" ht="12.75">
      <c r="D350" s="214"/>
      <c r="E350" s="214"/>
      <c r="F350" s="214"/>
    </row>
    <row r="351" spans="4:6" ht="12.75">
      <c r="D351" s="214"/>
      <c r="E351" s="214"/>
      <c r="F351" s="214"/>
    </row>
    <row r="352" spans="4:6" ht="12.75">
      <c r="D352" s="214"/>
      <c r="E352" s="214"/>
      <c r="F352" s="214"/>
    </row>
    <row r="353" spans="4:6" ht="12.75">
      <c r="D353" s="214"/>
      <c r="E353" s="214"/>
      <c r="F353" s="214"/>
    </row>
    <row r="354" spans="4:6" ht="12.75">
      <c r="D354" s="214"/>
      <c r="E354" s="214"/>
      <c r="F354" s="214"/>
    </row>
    <row r="355" spans="4:6" ht="12.75">
      <c r="D355" s="214"/>
      <c r="E355" s="214"/>
      <c r="F355" s="214"/>
    </row>
    <row r="356" spans="4:6" ht="12.75">
      <c r="D356" s="214"/>
      <c r="E356" s="214"/>
      <c r="F356" s="214"/>
    </row>
    <row r="357" spans="4:6" ht="12.75">
      <c r="D357" s="214"/>
      <c r="E357" s="214"/>
      <c r="F357" s="214"/>
    </row>
    <row r="358" spans="4:6" ht="12.75">
      <c r="D358" s="214"/>
      <c r="E358" s="214"/>
      <c r="F358" s="214"/>
    </row>
    <row r="359" spans="4:6" ht="12.75">
      <c r="D359" s="214"/>
      <c r="E359" s="214"/>
      <c r="F359" s="214"/>
    </row>
    <row r="360" spans="4:6" ht="12.75">
      <c r="D360" s="214"/>
      <c r="E360" s="214"/>
      <c r="F360" s="214"/>
    </row>
    <row r="361" spans="4:6" ht="12.75">
      <c r="D361" s="214"/>
      <c r="E361" s="214"/>
      <c r="F361" s="214"/>
    </row>
    <row r="362" spans="4:6" ht="12.75">
      <c r="D362" s="214"/>
      <c r="E362" s="214"/>
      <c r="F362" s="214"/>
    </row>
    <row r="363" spans="4:6" ht="12.75">
      <c r="D363" s="214"/>
      <c r="E363" s="214"/>
      <c r="F363" s="214"/>
    </row>
    <row r="364" spans="4:6" ht="12.75">
      <c r="D364" s="214"/>
      <c r="E364" s="214"/>
      <c r="F364" s="214"/>
    </row>
    <row r="365" spans="4:6" ht="12.75">
      <c r="D365" s="214"/>
      <c r="E365" s="214"/>
      <c r="F365" s="214"/>
    </row>
    <row r="366" spans="4:6" ht="12.75">
      <c r="D366" s="214"/>
      <c r="E366" s="214"/>
      <c r="F366" s="214"/>
    </row>
    <row r="367" spans="4:6" ht="12.75">
      <c r="D367" s="214"/>
      <c r="E367" s="214"/>
      <c r="F367" s="214"/>
    </row>
    <row r="368" spans="4:6" ht="12.75">
      <c r="D368" s="214"/>
      <c r="E368" s="214"/>
      <c r="F368" s="214"/>
    </row>
    <row r="369" spans="4:6" ht="12.75">
      <c r="D369" s="214"/>
      <c r="E369" s="214"/>
      <c r="F369" s="214"/>
    </row>
    <row r="370" spans="4:6" ht="12.75">
      <c r="D370" s="214"/>
      <c r="E370" s="214"/>
      <c r="F370" s="214"/>
    </row>
    <row r="371" spans="4:6" ht="12.75">
      <c r="D371" s="214"/>
      <c r="E371" s="214"/>
      <c r="F371" s="214"/>
    </row>
    <row r="372" spans="4:6" ht="12.75">
      <c r="D372" s="214"/>
      <c r="E372" s="214"/>
      <c r="F372" s="214"/>
    </row>
    <row r="373" spans="4:6" ht="12.75">
      <c r="D373" s="214"/>
      <c r="E373" s="214"/>
      <c r="F373" s="214"/>
    </row>
    <row r="374" spans="4:6" ht="12.75">
      <c r="D374" s="214"/>
      <c r="E374" s="214"/>
      <c r="F374" s="214"/>
    </row>
    <row r="375" spans="4:6" ht="12.75">
      <c r="D375" s="214"/>
      <c r="E375" s="214"/>
      <c r="F375" s="214"/>
    </row>
    <row r="376" spans="4:6" ht="12.75">
      <c r="D376" s="214"/>
      <c r="E376" s="214"/>
      <c r="F376" s="214"/>
    </row>
    <row r="377" spans="4:6" ht="12.75">
      <c r="D377" s="214"/>
      <c r="E377" s="214"/>
      <c r="F377" s="214"/>
    </row>
    <row r="378" spans="4:6" ht="12.75">
      <c r="D378" s="214"/>
      <c r="E378" s="214"/>
      <c r="F378" s="214"/>
    </row>
    <row r="379" spans="4:6" ht="12.75">
      <c r="D379" s="214"/>
      <c r="E379" s="214"/>
      <c r="F379" s="214"/>
    </row>
    <row r="380" spans="4:6" ht="12.75">
      <c r="D380" s="214"/>
      <c r="E380" s="214"/>
      <c r="F380" s="214"/>
    </row>
    <row r="381" spans="4:6" ht="12.75">
      <c r="D381" s="214"/>
      <c r="E381" s="214"/>
      <c r="F381" s="214"/>
    </row>
    <row r="382" spans="4:6" ht="12.75">
      <c r="D382" s="214"/>
      <c r="E382" s="214"/>
      <c r="F382" s="214"/>
    </row>
    <row r="383" spans="4:6" ht="12.75">
      <c r="D383" s="214"/>
      <c r="E383" s="214"/>
      <c r="F383" s="214"/>
    </row>
    <row r="384" spans="4:6" ht="12.75">
      <c r="D384" s="214"/>
      <c r="E384" s="214"/>
      <c r="F384" s="214"/>
    </row>
    <row r="385" spans="4:6" ht="12.75">
      <c r="D385" s="214"/>
      <c r="E385" s="214"/>
      <c r="F385" s="214"/>
    </row>
    <row r="386" spans="4:6" ht="12.75">
      <c r="D386" s="214"/>
      <c r="E386" s="214"/>
      <c r="F386" s="214"/>
    </row>
    <row r="387" spans="4:6" ht="12.75">
      <c r="D387" s="214"/>
      <c r="E387" s="214"/>
      <c r="F387" s="214"/>
    </row>
    <row r="388" spans="4:6" ht="12.75">
      <c r="D388" s="214"/>
      <c r="E388" s="214"/>
      <c r="F388" s="214"/>
    </row>
    <row r="389" spans="4:6" ht="12.75">
      <c r="D389" s="214"/>
      <c r="E389" s="214"/>
      <c r="F389" s="214"/>
    </row>
    <row r="390" spans="4:6" ht="12.75">
      <c r="D390" s="214"/>
      <c r="E390" s="214"/>
      <c r="F390" s="214"/>
    </row>
    <row r="391" spans="4:6" ht="12.75">
      <c r="D391" s="214"/>
      <c r="E391" s="214"/>
      <c r="F391" s="214"/>
    </row>
    <row r="392" spans="4:6" ht="12.75">
      <c r="D392" s="214"/>
      <c r="E392" s="214"/>
      <c r="F392" s="214"/>
    </row>
    <row r="393" spans="4:6" ht="12.75">
      <c r="D393" s="214"/>
      <c r="E393" s="214"/>
      <c r="F393" s="214"/>
    </row>
    <row r="394" spans="4:6" ht="12.75">
      <c r="D394" s="214"/>
      <c r="E394" s="214"/>
      <c r="F394" s="214"/>
    </row>
    <row r="395" spans="4:6" ht="12.75">
      <c r="D395" s="214"/>
      <c r="E395" s="214"/>
      <c r="F395" s="214"/>
    </row>
    <row r="396" spans="4:6" ht="12.75">
      <c r="D396" s="214"/>
      <c r="E396" s="214"/>
      <c r="F396" s="214"/>
    </row>
    <row r="397" spans="4:6" ht="12.75">
      <c r="D397" s="214"/>
      <c r="E397" s="214"/>
      <c r="F397" s="214"/>
    </row>
    <row r="398" spans="4:6" ht="12.75">
      <c r="D398" s="214"/>
      <c r="E398" s="214"/>
      <c r="F398" s="214"/>
    </row>
    <row r="399" spans="4:6" ht="12.75">
      <c r="D399" s="214"/>
      <c r="E399" s="214"/>
      <c r="F399" s="214"/>
    </row>
    <row r="400" spans="4:6" ht="12.75">
      <c r="D400" s="214"/>
      <c r="E400" s="214"/>
      <c r="F400" s="214"/>
    </row>
    <row r="401" spans="4:6" ht="12.75">
      <c r="D401" s="214"/>
      <c r="E401" s="214"/>
      <c r="F401" s="214"/>
    </row>
    <row r="402" spans="4:6" ht="12.75">
      <c r="D402" s="214"/>
      <c r="E402" s="214"/>
      <c r="F402" s="214"/>
    </row>
    <row r="403" spans="4:6" ht="12.75">
      <c r="D403" s="214"/>
      <c r="E403" s="214"/>
      <c r="F403" s="214"/>
    </row>
    <row r="404" spans="4:6" ht="12.75">
      <c r="D404" s="214"/>
      <c r="E404" s="214"/>
      <c r="F404" s="214"/>
    </row>
    <row r="405" spans="4:6" ht="12.75">
      <c r="D405" s="214"/>
      <c r="E405" s="214"/>
      <c r="F405" s="214"/>
    </row>
    <row r="406" spans="4:6" ht="12.75">
      <c r="D406" s="214"/>
      <c r="E406" s="214"/>
      <c r="F406" s="214"/>
    </row>
    <row r="407" spans="4:6" ht="12.75">
      <c r="D407" s="214"/>
      <c r="E407" s="214"/>
      <c r="F407" s="214"/>
    </row>
    <row r="408" spans="4:6" ht="12.75">
      <c r="D408" s="214"/>
      <c r="E408" s="214"/>
      <c r="F408" s="214"/>
    </row>
    <row r="409" spans="4:6" ht="12.75">
      <c r="D409" s="214"/>
      <c r="E409" s="214"/>
      <c r="F409" s="214"/>
    </row>
    <row r="410" spans="4:6" ht="12.75">
      <c r="D410" s="214"/>
      <c r="E410" s="214"/>
      <c r="F410" s="214"/>
    </row>
    <row r="411" spans="4:6" ht="12.75">
      <c r="D411" s="214"/>
      <c r="E411" s="214"/>
      <c r="F411" s="214"/>
    </row>
    <row r="412" spans="4:6" ht="12.75">
      <c r="D412" s="214"/>
      <c r="E412" s="214"/>
      <c r="F412" s="214"/>
    </row>
    <row r="413" spans="4:6" ht="12.75">
      <c r="D413" s="214"/>
      <c r="E413" s="214"/>
      <c r="F413" s="214"/>
    </row>
    <row r="414" spans="4:6" ht="12.75">
      <c r="D414" s="214"/>
      <c r="E414" s="214"/>
      <c r="F414" s="214"/>
    </row>
    <row r="415" spans="4:6" ht="12.75">
      <c r="D415" s="214"/>
      <c r="E415" s="214"/>
      <c r="F415" s="214"/>
    </row>
    <row r="416" spans="4:6" ht="12.75">
      <c r="D416" s="214"/>
      <c r="E416" s="214"/>
      <c r="F416" s="214"/>
    </row>
    <row r="417" spans="4:6" ht="12.75">
      <c r="D417" s="214"/>
      <c r="E417" s="214"/>
      <c r="F417" s="214"/>
    </row>
    <row r="418" spans="4:6" ht="12.75">
      <c r="D418" s="214"/>
      <c r="E418" s="214"/>
      <c r="F418" s="214"/>
    </row>
    <row r="419" spans="4:6" ht="12.75">
      <c r="D419" s="214"/>
      <c r="E419" s="214"/>
      <c r="F419" s="214"/>
    </row>
    <row r="420" spans="4:6" ht="12.75">
      <c r="D420" s="214"/>
      <c r="E420" s="214"/>
      <c r="F420" s="214"/>
    </row>
    <row r="421" spans="4:6" ht="12.75">
      <c r="D421" s="214"/>
      <c r="E421" s="214"/>
      <c r="F421" s="214"/>
    </row>
    <row r="422" spans="4:6" ht="12.75">
      <c r="D422" s="214"/>
      <c r="E422" s="214"/>
      <c r="F422" s="214"/>
    </row>
    <row r="423" spans="4:6" ht="12.75">
      <c r="D423" s="214"/>
      <c r="E423" s="214"/>
      <c r="F423" s="214"/>
    </row>
    <row r="424" spans="4:6" ht="12.75">
      <c r="D424" s="214"/>
      <c r="E424" s="214"/>
      <c r="F424" s="214"/>
    </row>
    <row r="425" spans="4:6" ht="12.75">
      <c r="D425" s="214"/>
      <c r="E425" s="214"/>
      <c r="F425" s="214"/>
    </row>
    <row r="426" spans="4:6" ht="12.75">
      <c r="D426" s="214"/>
      <c r="E426" s="214"/>
      <c r="F426" s="214"/>
    </row>
    <row r="427" spans="4:6" ht="12.75">
      <c r="D427" s="214"/>
      <c r="E427" s="214"/>
      <c r="F427" s="214"/>
    </row>
    <row r="428" spans="4:6" ht="12.75">
      <c r="D428" s="214"/>
      <c r="E428" s="214"/>
      <c r="F428" s="214"/>
    </row>
    <row r="429" spans="4:6" ht="12.75">
      <c r="D429" s="214"/>
      <c r="E429" s="214"/>
      <c r="F429" s="214"/>
    </row>
    <row r="430" spans="4:6" ht="12.75">
      <c r="D430" s="214"/>
      <c r="E430" s="214"/>
      <c r="F430" s="214"/>
    </row>
    <row r="431" spans="4:6" ht="12.75">
      <c r="D431" s="214"/>
      <c r="E431" s="214"/>
      <c r="F431" s="214"/>
    </row>
    <row r="432" spans="4:6" ht="12.75">
      <c r="D432" s="214"/>
      <c r="E432" s="214"/>
      <c r="F432" s="214"/>
    </row>
    <row r="433" spans="4:6" ht="12.75">
      <c r="D433" s="214"/>
      <c r="E433" s="214"/>
      <c r="F433" s="214"/>
    </row>
    <row r="434" spans="4:6" ht="12.75">
      <c r="D434" s="214"/>
      <c r="E434" s="214"/>
      <c r="F434" s="214"/>
    </row>
    <row r="435" spans="4:6" ht="12.75">
      <c r="D435" s="214"/>
      <c r="E435" s="214"/>
      <c r="F435" s="214"/>
    </row>
    <row r="436" spans="4:6" ht="12.75">
      <c r="D436" s="214"/>
      <c r="E436" s="214"/>
      <c r="F436" s="214"/>
    </row>
    <row r="437" spans="4:6" ht="12.75">
      <c r="D437" s="214"/>
      <c r="E437" s="214"/>
      <c r="F437" s="214"/>
    </row>
    <row r="438" spans="4:6" ht="12.75">
      <c r="D438" s="214"/>
      <c r="E438" s="214"/>
      <c r="F438" s="214"/>
    </row>
    <row r="439" spans="4:6" ht="12.75">
      <c r="D439" s="214"/>
      <c r="E439" s="214"/>
      <c r="F439" s="214"/>
    </row>
    <row r="440" spans="4:6" ht="12.75">
      <c r="D440" s="214"/>
      <c r="E440" s="214"/>
      <c r="F440" s="214"/>
    </row>
    <row r="441" spans="4:6" ht="12.75">
      <c r="D441" s="214"/>
      <c r="E441" s="214"/>
      <c r="F441" s="214"/>
    </row>
    <row r="442" spans="4:6" ht="12.75">
      <c r="D442" s="214"/>
      <c r="E442" s="214"/>
      <c r="F442" s="214"/>
    </row>
    <row r="443" spans="4:6" ht="12.75">
      <c r="D443" s="214"/>
      <c r="E443" s="214"/>
      <c r="F443" s="214"/>
    </row>
    <row r="444" spans="4:6" ht="12.75">
      <c r="D444" s="214"/>
      <c r="E444" s="214"/>
      <c r="F444" s="214"/>
    </row>
    <row r="445" spans="4:6" ht="12.75">
      <c r="D445" s="214"/>
      <c r="E445" s="214"/>
      <c r="F445" s="214"/>
    </row>
    <row r="446" spans="4:6" ht="12.75">
      <c r="D446" s="214"/>
      <c r="E446" s="214"/>
      <c r="F446" s="214"/>
    </row>
    <row r="447" spans="4:6" ht="12.75">
      <c r="D447" s="214"/>
      <c r="E447" s="214"/>
      <c r="F447" s="214"/>
    </row>
    <row r="448" spans="4:6" ht="12.75">
      <c r="D448" s="214"/>
      <c r="E448" s="214"/>
      <c r="F448" s="214"/>
    </row>
    <row r="449" spans="4:6" ht="12.75">
      <c r="D449" s="214"/>
      <c r="E449" s="214"/>
      <c r="F449" s="214"/>
    </row>
    <row r="450" spans="4:6" ht="12.75">
      <c r="D450" s="214"/>
      <c r="E450" s="214"/>
      <c r="F450" s="214"/>
    </row>
    <row r="451" spans="4:6" ht="12.75">
      <c r="D451" s="214"/>
      <c r="E451" s="214"/>
      <c r="F451" s="214"/>
    </row>
    <row r="452" spans="4:6" ht="12.75">
      <c r="D452" s="214"/>
      <c r="E452" s="214"/>
      <c r="F452" s="214"/>
    </row>
    <row r="453" spans="4:6" ht="12.75">
      <c r="D453" s="214"/>
      <c r="E453" s="214"/>
      <c r="F453" s="214"/>
    </row>
    <row r="454" spans="4:6" ht="12.75">
      <c r="D454" s="214"/>
      <c r="E454" s="214"/>
      <c r="F454" s="214"/>
    </row>
    <row r="455" spans="4:6" ht="12.75">
      <c r="D455" s="214"/>
      <c r="E455" s="214"/>
      <c r="F455" s="214"/>
    </row>
    <row r="456" spans="4:6" ht="12.75">
      <c r="D456" s="214"/>
      <c r="E456" s="214"/>
      <c r="F456" s="214"/>
    </row>
    <row r="457" spans="4:6" ht="12.75">
      <c r="D457" s="214"/>
      <c r="E457" s="214"/>
      <c r="F457" s="214"/>
    </row>
    <row r="458" spans="4:6" ht="12.75">
      <c r="D458" s="214"/>
      <c r="E458" s="214"/>
      <c r="F458" s="214"/>
    </row>
    <row r="459" spans="4:6" ht="12.75">
      <c r="D459" s="214"/>
      <c r="E459" s="214"/>
      <c r="F459" s="214"/>
    </row>
    <row r="460" spans="4:6" ht="12.75">
      <c r="D460" s="214"/>
      <c r="E460" s="214"/>
      <c r="F460" s="214"/>
    </row>
    <row r="461" spans="4:6" ht="12.75">
      <c r="D461" s="214"/>
      <c r="E461" s="214"/>
      <c r="F461" s="214"/>
    </row>
    <row r="462" spans="4:6" ht="12.75">
      <c r="D462" s="214"/>
      <c r="E462" s="214"/>
      <c r="F462" s="214"/>
    </row>
    <row r="463" spans="4:6" ht="12.75">
      <c r="D463" s="214"/>
      <c r="E463" s="214"/>
      <c r="F463" s="214"/>
    </row>
    <row r="464" spans="4:6" ht="12.75">
      <c r="D464" s="214"/>
      <c r="E464" s="214"/>
      <c r="F464" s="214"/>
    </row>
    <row r="465" spans="4:6" ht="12.75">
      <c r="D465" s="214"/>
      <c r="E465" s="214"/>
      <c r="F465" s="214"/>
    </row>
    <row r="466" spans="4:6" ht="12.75">
      <c r="D466" s="214"/>
      <c r="E466" s="214"/>
      <c r="F466" s="214"/>
    </row>
    <row r="467" spans="4:6" ht="12.75">
      <c r="D467" s="214"/>
      <c r="E467" s="214"/>
      <c r="F467" s="214"/>
    </row>
    <row r="468" spans="4:6" ht="12.75">
      <c r="D468" s="214"/>
      <c r="E468" s="214"/>
      <c r="F468" s="214"/>
    </row>
    <row r="469" spans="4:6" ht="12.75">
      <c r="D469" s="214"/>
      <c r="E469" s="214"/>
      <c r="F469" s="214"/>
    </row>
    <row r="470" spans="4:6" ht="12.75">
      <c r="D470" s="214"/>
      <c r="E470" s="214"/>
      <c r="F470" s="214"/>
    </row>
    <row r="471" spans="4:6" ht="12.75">
      <c r="D471" s="214"/>
      <c r="E471" s="214"/>
      <c r="F471" s="214"/>
    </row>
    <row r="472" spans="4:6" ht="12.75">
      <c r="D472" s="214"/>
      <c r="E472" s="214"/>
      <c r="F472" s="214"/>
    </row>
    <row r="473" spans="4:6" ht="12.75">
      <c r="D473" s="214"/>
      <c r="E473" s="214"/>
      <c r="F473" s="214"/>
    </row>
    <row r="474" spans="4:6" ht="12.75">
      <c r="D474" s="214"/>
      <c r="E474" s="214"/>
      <c r="F474" s="214"/>
    </row>
    <row r="475" spans="4:6" ht="12.75">
      <c r="D475" s="214"/>
      <c r="E475" s="214"/>
      <c r="F475" s="214"/>
    </row>
    <row r="476" spans="4:6" ht="12.75">
      <c r="D476" s="214"/>
      <c r="E476" s="214"/>
      <c r="F476" s="214"/>
    </row>
    <row r="477" spans="4:6" ht="12.75">
      <c r="D477" s="214"/>
      <c r="E477" s="214"/>
      <c r="F477" s="214"/>
    </row>
    <row r="478" spans="4:6" ht="12.75">
      <c r="D478" s="214"/>
      <c r="E478" s="214"/>
      <c r="F478" s="214"/>
    </row>
    <row r="479" spans="4:6" ht="12.75">
      <c r="D479" s="214"/>
      <c r="E479" s="214"/>
      <c r="F479" s="214"/>
    </row>
    <row r="480" spans="4:6" ht="12.75">
      <c r="D480" s="214"/>
      <c r="E480" s="214"/>
      <c r="F480" s="214"/>
    </row>
    <row r="481" spans="4:6" ht="12.75">
      <c r="D481" s="214"/>
      <c r="E481" s="214"/>
      <c r="F481" s="214"/>
    </row>
    <row r="482" spans="4:6" ht="12.75">
      <c r="D482" s="214"/>
      <c r="E482" s="214"/>
      <c r="F482" s="214"/>
    </row>
    <row r="483" spans="4:6" ht="12.75">
      <c r="D483" s="214"/>
      <c r="E483" s="214"/>
      <c r="F483" s="214"/>
    </row>
    <row r="484" spans="4:6" ht="12.75">
      <c r="D484" s="214"/>
      <c r="E484" s="214"/>
      <c r="F484" s="214"/>
    </row>
    <row r="485" spans="4:6" ht="12.75">
      <c r="D485" s="214"/>
      <c r="E485" s="214"/>
      <c r="F485" s="214"/>
    </row>
    <row r="486" spans="4:6" ht="12.75">
      <c r="D486" s="214"/>
      <c r="E486" s="214"/>
      <c r="F486" s="214"/>
    </row>
    <row r="487" spans="4:6" ht="12.75">
      <c r="D487" s="214"/>
      <c r="E487" s="214"/>
      <c r="F487" s="214"/>
    </row>
    <row r="488" spans="4:6" ht="12.75">
      <c r="D488" s="214"/>
      <c r="E488" s="214"/>
      <c r="F488" s="214"/>
    </row>
    <row r="489" spans="4:6" ht="12.75">
      <c r="D489" s="214"/>
      <c r="E489" s="214"/>
      <c r="F489" s="214"/>
    </row>
    <row r="490" spans="4:6" ht="12.75">
      <c r="D490" s="214"/>
      <c r="E490" s="214"/>
      <c r="F490" s="214"/>
    </row>
    <row r="491" spans="4:6" ht="12.75">
      <c r="D491" s="214"/>
      <c r="E491" s="214"/>
      <c r="F491" s="214"/>
    </row>
    <row r="492" spans="4:6" ht="12.75">
      <c r="D492" s="214"/>
      <c r="E492" s="214"/>
      <c r="F492" s="214"/>
    </row>
    <row r="493" spans="4:6" ht="12.75">
      <c r="D493" s="214"/>
      <c r="E493" s="214"/>
      <c r="F493" s="214"/>
    </row>
    <row r="494" spans="4:6" ht="12.75">
      <c r="D494" s="214"/>
      <c r="E494" s="214"/>
      <c r="F494" s="214"/>
    </row>
    <row r="495" spans="4:6" ht="12.75">
      <c r="D495" s="214"/>
      <c r="E495" s="214"/>
      <c r="F495" s="214"/>
    </row>
    <row r="496" spans="4:6" ht="12.75">
      <c r="D496" s="214"/>
      <c r="E496" s="214"/>
      <c r="F496" s="214"/>
    </row>
    <row r="497" spans="4:6" ht="12.75">
      <c r="D497" s="214"/>
      <c r="E497" s="214"/>
      <c r="F497" s="214"/>
    </row>
    <row r="498" spans="4:6" ht="12.75">
      <c r="D498" s="214"/>
      <c r="E498" s="214"/>
      <c r="F498" s="214"/>
    </row>
    <row r="499" spans="4:6" ht="12.75">
      <c r="D499" s="214"/>
      <c r="E499" s="214"/>
      <c r="F499" s="214"/>
    </row>
    <row r="500" spans="4:6" ht="12.75">
      <c r="D500" s="214"/>
      <c r="E500" s="214"/>
      <c r="F500" s="214"/>
    </row>
    <row r="501" spans="4:6" ht="12.75">
      <c r="D501" s="214"/>
      <c r="E501" s="214"/>
      <c r="F501" s="214"/>
    </row>
    <row r="502" spans="4:6" ht="12.75">
      <c r="D502" s="214"/>
      <c r="E502" s="214"/>
      <c r="F502" s="214"/>
    </row>
    <row r="503" spans="4:6" ht="12.75">
      <c r="D503" s="214"/>
      <c r="E503" s="214"/>
      <c r="F503" s="214"/>
    </row>
    <row r="504" spans="4:6" ht="12.75">
      <c r="D504" s="214"/>
      <c r="E504" s="214"/>
      <c r="F504" s="214"/>
    </row>
    <row r="505" spans="4:6" ht="12.75">
      <c r="D505" s="214"/>
      <c r="E505" s="214"/>
      <c r="F505" s="214"/>
    </row>
    <row r="506" spans="4:6" ht="12.75">
      <c r="D506" s="214"/>
      <c r="E506" s="214"/>
      <c r="F506" s="214"/>
    </row>
    <row r="507" spans="4:6" ht="12.75">
      <c r="D507" s="214"/>
      <c r="E507" s="214"/>
      <c r="F507" s="214"/>
    </row>
    <row r="508" spans="4:6" ht="12.75">
      <c r="D508" s="214"/>
      <c r="E508" s="214"/>
      <c r="F508" s="214"/>
    </row>
    <row r="509" spans="4:6" ht="12.75">
      <c r="D509" s="214"/>
      <c r="E509" s="214"/>
      <c r="F509" s="214"/>
    </row>
    <row r="510" spans="4:6" ht="12.75">
      <c r="D510" s="214"/>
      <c r="E510" s="214"/>
      <c r="F510" s="214"/>
    </row>
    <row r="511" spans="4:6" ht="12.75">
      <c r="D511" s="214"/>
      <c r="E511" s="214"/>
      <c r="F511" s="214"/>
    </row>
    <row r="512" spans="4:6" ht="12.75">
      <c r="D512" s="214"/>
      <c r="E512" s="214"/>
      <c r="F512" s="214"/>
    </row>
    <row r="513" spans="4:6" ht="12.75">
      <c r="D513" s="214"/>
      <c r="E513" s="214"/>
      <c r="F513" s="214"/>
    </row>
    <row r="514" spans="4:6" ht="12.75">
      <c r="D514" s="214"/>
      <c r="E514" s="214"/>
      <c r="F514" s="214"/>
    </row>
    <row r="515" spans="4:6" ht="12.75">
      <c r="D515" s="214"/>
      <c r="E515" s="214"/>
      <c r="F515" s="214"/>
    </row>
    <row r="516" spans="4:6" ht="12.75">
      <c r="D516" s="214"/>
      <c r="E516" s="214"/>
      <c r="F516" s="214"/>
    </row>
    <row r="517" spans="4:6" ht="12.75">
      <c r="D517" s="214"/>
      <c r="E517" s="214"/>
      <c r="F517" s="214"/>
    </row>
    <row r="518" spans="4:6" ht="12.75">
      <c r="D518" s="214"/>
      <c r="E518" s="214"/>
      <c r="F518" s="214"/>
    </row>
    <row r="519" spans="4:6" ht="12.75">
      <c r="D519" s="214"/>
      <c r="E519" s="214"/>
      <c r="F519" s="214"/>
    </row>
    <row r="520" spans="4:6" ht="12.75">
      <c r="D520" s="214"/>
      <c r="E520" s="214"/>
      <c r="F520" s="214"/>
    </row>
    <row r="521" spans="4:6" ht="12.75">
      <c r="D521" s="214"/>
      <c r="E521" s="214"/>
      <c r="F521" s="214"/>
    </row>
    <row r="522" spans="4:6" ht="12.75">
      <c r="D522" s="214"/>
      <c r="E522" s="214"/>
      <c r="F522" s="214"/>
    </row>
    <row r="523" spans="4:6" ht="12.75">
      <c r="D523" s="214"/>
      <c r="E523" s="214"/>
      <c r="F523" s="214"/>
    </row>
    <row r="524" spans="4:6" ht="12.75">
      <c r="D524" s="214"/>
      <c r="E524" s="214"/>
      <c r="F524" s="214"/>
    </row>
    <row r="525" spans="4:6" ht="12.75">
      <c r="D525" s="214"/>
      <c r="E525" s="214"/>
      <c r="F525" s="214"/>
    </row>
    <row r="526" spans="4:6" ht="12.75">
      <c r="D526" s="214"/>
      <c r="E526" s="214"/>
      <c r="F526" s="214"/>
    </row>
    <row r="527" spans="4:6" ht="12.75">
      <c r="D527" s="214"/>
      <c r="E527" s="214"/>
      <c r="F527" s="214"/>
    </row>
    <row r="528" spans="4:6" ht="12.75">
      <c r="D528" s="214"/>
      <c r="E528" s="214"/>
      <c r="F528" s="214"/>
    </row>
    <row r="529" spans="4:6" ht="12.75">
      <c r="D529" s="214"/>
      <c r="E529" s="214"/>
      <c r="F529" s="214"/>
    </row>
    <row r="530" spans="4:6" ht="12.75">
      <c r="D530" s="214"/>
      <c r="E530" s="214"/>
      <c r="F530" s="214"/>
    </row>
    <row r="531" spans="4:6" ht="12.75">
      <c r="D531" s="214"/>
      <c r="E531" s="214"/>
      <c r="F531" s="214"/>
    </row>
    <row r="532" spans="4:6" ht="12.75">
      <c r="D532" s="214"/>
      <c r="E532" s="214"/>
      <c r="F532" s="214"/>
    </row>
    <row r="533" spans="4:6" ht="12.75">
      <c r="D533" s="214"/>
      <c r="E533" s="214"/>
      <c r="F533" s="214"/>
    </row>
    <row r="534" spans="4:6" ht="12.75">
      <c r="D534" s="214"/>
      <c r="E534" s="214"/>
      <c r="F534" s="214"/>
    </row>
    <row r="535" spans="4:6" ht="12.75">
      <c r="D535" s="214"/>
      <c r="E535" s="214"/>
      <c r="F535" s="214"/>
    </row>
    <row r="536" spans="4:6" ht="12.75">
      <c r="D536" s="214"/>
      <c r="E536" s="214"/>
      <c r="F536" s="214"/>
    </row>
    <row r="537" spans="4:6" ht="12.75">
      <c r="D537" s="214"/>
      <c r="E537" s="214"/>
      <c r="F537" s="214"/>
    </row>
    <row r="538" spans="4:6" ht="12.75">
      <c r="D538" s="214"/>
      <c r="E538" s="214"/>
      <c r="F538" s="214"/>
    </row>
    <row r="539" spans="4:6" ht="12.75">
      <c r="D539" s="214"/>
      <c r="E539" s="214"/>
      <c r="F539" s="214"/>
    </row>
    <row r="540" spans="4:6" ht="12.75">
      <c r="D540" s="214"/>
      <c r="E540" s="214"/>
      <c r="F540" s="214"/>
    </row>
    <row r="541" spans="4:6" ht="12.75">
      <c r="D541" s="214"/>
      <c r="E541" s="214"/>
      <c r="F541" s="214"/>
    </row>
    <row r="542" spans="4:6" ht="12.75">
      <c r="D542" s="214"/>
      <c r="E542" s="214"/>
      <c r="F542" s="214"/>
    </row>
    <row r="543" spans="4:6" ht="12.75">
      <c r="D543" s="214"/>
      <c r="E543" s="214"/>
      <c r="F543" s="214"/>
    </row>
    <row r="544" spans="4:6" ht="12.75">
      <c r="D544" s="214"/>
      <c r="E544" s="214"/>
      <c r="F544" s="214"/>
    </row>
    <row r="545" spans="4:6" ht="12.75">
      <c r="D545" s="214"/>
      <c r="E545" s="214"/>
      <c r="F545" s="214"/>
    </row>
    <row r="546" spans="4:6" ht="12.75">
      <c r="D546" s="214"/>
      <c r="E546" s="214"/>
      <c r="F546" s="214"/>
    </row>
    <row r="547" spans="4:6" ht="12.75">
      <c r="D547" s="214"/>
      <c r="E547" s="214"/>
      <c r="F547" s="214"/>
    </row>
    <row r="548" spans="4:6" ht="12.75">
      <c r="D548" s="214"/>
      <c r="E548" s="214"/>
      <c r="F548" s="214"/>
    </row>
    <row r="549" spans="4:6" ht="12.75">
      <c r="D549" s="214"/>
      <c r="E549" s="214"/>
      <c r="F549" s="214"/>
    </row>
    <row r="550" spans="4:6" ht="12.75">
      <c r="D550" s="214"/>
      <c r="E550" s="214"/>
      <c r="F550" s="214"/>
    </row>
    <row r="551" spans="4:6" ht="12.75">
      <c r="D551" s="214"/>
      <c r="E551" s="214"/>
      <c r="F551" s="214"/>
    </row>
    <row r="552" spans="4:6" ht="12.75">
      <c r="D552" s="214"/>
      <c r="E552" s="214"/>
      <c r="F552" s="214"/>
    </row>
    <row r="553" spans="4:6" ht="12.75">
      <c r="D553" s="214"/>
      <c r="E553" s="214"/>
      <c r="F553" s="214"/>
    </row>
    <row r="554" spans="4:6" ht="12.75">
      <c r="D554" s="214"/>
      <c r="E554" s="214"/>
      <c r="F554" s="214"/>
    </row>
    <row r="555" spans="4:6" ht="12.75">
      <c r="D555" s="214"/>
      <c r="E555" s="214"/>
      <c r="F555" s="214"/>
    </row>
    <row r="556" spans="4:6" ht="12.75">
      <c r="D556" s="214"/>
      <c r="E556" s="214"/>
      <c r="F556" s="214"/>
    </row>
    <row r="557" spans="4:6" ht="12.75">
      <c r="D557" s="214"/>
      <c r="E557" s="214"/>
      <c r="F557" s="214"/>
    </row>
    <row r="558" spans="4:6" ht="12.75">
      <c r="D558" s="214"/>
      <c r="E558" s="214"/>
      <c r="F558" s="214"/>
    </row>
    <row r="559" spans="4:6" ht="12.75">
      <c r="D559" s="214"/>
      <c r="E559" s="214"/>
      <c r="F559" s="214"/>
    </row>
    <row r="560" spans="4:6" ht="12.75">
      <c r="D560" s="214"/>
      <c r="E560" s="214"/>
      <c r="F560" s="214"/>
    </row>
    <row r="561" spans="4:6" ht="12.75">
      <c r="D561" s="214"/>
      <c r="E561" s="214"/>
      <c r="F561" s="214"/>
    </row>
    <row r="562" spans="4:6" ht="12.75">
      <c r="D562" s="214"/>
      <c r="E562" s="214"/>
      <c r="F562" s="214"/>
    </row>
    <row r="563" spans="4:6" ht="12.75">
      <c r="D563" s="214"/>
      <c r="E563" s="214"/>
      <c r="F563" s="214"/>
    </row>
    <row r="564" spans="4:6" ht="12.75">
      <c r="D564" s="214"/>
      <c r="E564" s="214"/>
      <c r="F564" s="214"/>
    </row>
    <row r="565" spans="4:6" ht="12.75">
      <c r="D565" s="214"/>
      <c r="E565" s="214"/>
      <c r="F565" s="214"/>
    </row>
    <row r="566" spans="4:6" ht="12.75">
      <c r="D566" s="214"/>
      <c r="E566" s="214"/>
      <c r="F566" s="214"/>
    </row>
    <row r="567" spans="4:6" ht="12.75">
      <c r="D567" s="214"/>
      <c r="E567" s="214"/>
      <c r="F567" s="214"/>
    </row>
    <row r="568" spans="4:6" ht="12.75">
      <c r="D568" s="214"/>
      <c r="E568" s="214"/>
      <c r="F568" s="214"/>
    </row>
    <row r="569" spans="4:6" ht="12.75">
      <c r="D569" s="214"/>
      <c r="E569" s="214"/>
      <c r="F569" s="214"/>
    </row>
    <row r="570" spans="4:6" ht="12.75">
      <c r="D570" s="214"/>
      <c r="E570" s="214"/>
      <c r="F570" s="214"/>
    </row>
    <row r="571" spans="4:6" ht="12.75">
      <c r="D571" s="214"/>
      <c r="E571" s="214"/>
      <c r="F571" s="214"/>
    </row>
    <row r="572" spans="4:6" ht="12.75">
      <c r="D572" s="214"/>
      <c r="E572" s="214"/>
      <c r="F572" s="214"/>
    </row>
    <row r="573" spans="4:6" ht="12.75">
      <c r="D573" s="214"/>
      <c r="E573" s="214"/>
      <c r="F573" s="214"/>
    </row>
    <row r="574" spans="4:6" ht="12.75">
      <c r="D574" s="214"/>
      <c r="E574" s="214"/>
      <c r="F574" s="214"/>
    </row>
    <row r="575" spans="4:6" ht="12.75">
      <c r="D575" s="214"/>
      <c r="E575" s="214"/>
      <c r="F575" s="214"/>
    </row>
    <row r="576" spans="4:6" ht="12.75">
      <c r="D576" s="214"/>
      <c r="E576" s="214"/>
      <c r="F576" s="214"/>
    </row>
    <row r="577" spans="4:6" ht="12.75">
      <c r="D577" s="214"/>
      <c r="E577" s="214"/>
      <c r="F577" s="214"/>
    </row>
    <row r="578" spans="4:6" ht="12.75">
      <c r="D578" s="214"/>
      <c r="E578" s="214"/>
      <c r="F578" s="214"/>
    </row>
    <row r="579" spans="4:6" ht="12.75">
      <c r="D579" s="214"/>
      <c r="E579" s="214"/>
      <c r="F579" s="214"/>
    </row>
    <row r="580" spans="4:6" ht="12.75">
      <c r="D580" s="214"/>
      <c r="E580" s="214"/>
      <c r="F580" s="214"/>
    </row>
    <row r="581" spans="4:6" ht="12.75">
      <c r="D581" s="214"/>
      <c r="E581" s="214"/>
      <c r="F581" s="214"/>
    </row>
    <row r="582" spans="4:6" ht="12.75">
      <c r="D582" s="214"/>
      <c r="E582" s="214"/>
      <c r="F582" s="214"/>
    </row>
    <row r="583" spans="4:6" ht="12.75">
      <c r="D583" s="214"/>
      <c r="E583" s="214"/>
      <c r="F583" s="214"/>
    </row>
    <row r="584" spans="4:6" ht="12.75">
      <c r="D584" s="214"/>
      <c r="E584" s="214"/>
      <c r="F584" s="214"/>
    </row>
    <row r="585" spans="4:6" ht="12.75">
      <c r="D585" s="214"/>
      <c r="E585" s="214"/>
      <c r="F585" s="214"/>
    </row>
    <row r="586" spans="4:6" ht="12.75">
      <c r="D586" s="214"/>
      <c r="E586" s="214"/>
      <c r="F586" s="214"/>
    </row>
    <row r="587" spans="4:6" ht="12.75">
      <c r="D587" s="214"/>
      <c r="E587" s="214"/>
      <c r="F587" s="214"/>
    </row>
    <row r="588" spans="4:6" ht="12.75">
      <c r="D588" s="214"/>
      <c r="E588" s="214"/>
      <c r="F588" s="214"/>
    </row>
    <row r="589" spans="4:6" ht="12.75">
      <c r="D589" s="214"/>
      <c r="E589" s="214"/>
      <c r="F589" s="214"/>
    </row>
    <row r="590" spans="4:6" ht="12.75">
      <c r="D590" s="214"/>
      <c r="E590" s="214"/>
      <c r="F590" s="214"/>
    </row>
    <row r="591" spans="4:6" ht="12.75">
      <c r="D591" s="214"/>
      <c r="E591" s="214"/>
      <c r="F591" s="214"/>
    </row>
    <row r="592" spans="4:6" ht="12.75">
      <c r="D592" s="214"/>
      <c r="E592" s="214"/>
      <c r="F592" s="214"/>
    </row>
    <row r="593" spans="4:6" ht="12.75">
      <c r="D593" s="214"/>
      <c r="E593" s="214"/>
      <c r="F593" s="214"/>
    </row>
    <row r="594" spans="4:6" ht="12.75">
      <c r="D594" s="214"/>
      <c r="E594" s="214"/>
      <c r="F594" s="214"/>
    </row>
    <row r="595" spans="4:6" ht="12.75">
      <c r="D595" s="214"/>
      <c r="E595" s="214"/>
      <c r="F595" s="214"/>
    </row>
    <row r="596" spans="4:6" ht="12.75">
      <c r="D596" s="214"/>
      <c r="E596" s="214"/>
      <c r="F596" s="214"/>
    </row>
    <row r="597" spans="4:6" ht="12.75">
      <c r="D597" s="214"/>
      <c r="E597" s="214"/>
      <c r="F597" s="214"/>
    </row>
    <row r="598" spans="4:6" ht="12.75">
      <c r="D598" s="214"/>
      <c r="E598" s="214"/>
      <c r="F598" s="214"/>
    </row>
    <row r="599" spans="4:6" ht="12.75">
      <c r="D599" s="214"/>
      <c r="E599" s="214"/>
      <c r="F599" s="214"/>
    </row>
    <row r="600" spans="4:6" ht="12.75">
      <c r="D600" s="214"/>
      <c r="E600" s="214"/>
      <c r="F600" s="214"/>
    </row>
    <row r="601" spans="4:6" ht="12.75">
      <c r="D601" s="214"/>
      <c r="E601" s="214"/>
      <c r="F601" s="214"/>
    </row>
    <row r="602" spans="4:6" ht="12.75">
      <c r="D602" s="214"/>
      <c r="E602" s="214"/>
      <c r="F602" s="214"/>
    </row>
    <row r="603" spans="4:6" ht="12.75">
      <c r="D603" s="214"/>
      <c r="E603" s="214"/>
      <c r="F603" s="214"/>
    </row>
    <row r="604" spans="4:6" ht="12.75">
      <c r="D604" s="214"/>
      <c r="E604" s="214"/>
      <c r="F604" s="214"/>
    </row>
    <row r="605" spans="4:6" ht="12.75">
      <c r="D605" s="214"/>
      <c r="E605" s="214"/>
      <c r="F605" s="214"/>
    </row>
    <row r="606" spans="4:6" ht="12.75">
      <c r="D606" s="214"/>
      <c r="E606" s="214"/>
      <c r="F606" s="214"/>
    </row>
    <row r="607" spans="4:6" ht="12.75">
      <c r="D607" s="214"/>
      <c r="E607" s="214"/>
      <c r="F607" s="214"/>
    </row>
    <row r="608" spans="4:6" ht="12.75">
      <c r="D608" s="214"/>
      <c r="E608" s="214"/>
      <c r="F608" s="214"/>
    </row>
    <row r="609" spans="4:6" ht="12.75">
      <c r="D609" s="214"/>
      <c r="E609" s="214"/>
      <c r="F609" s="214"/>
    </row>
    <row r="610" spans="4:6" ht="12.75">
      <c r="D610" s="214"/>
      <c r="E610" s="214"/>
      <c r="F610" s="214"/>
    </row>
    <row r="611" spans="4:6" ht="12.75">
      <c r="D611" s="214"/>
      <c r="E611" s="214"/>
      <c r="F611" s="214"/>
    </row>
    <row r="612" spans="4:6" ht="12.75">
      <c r="D612" s="214"/>
      <c r="E612" s="214"/>
      <c r="F612" s="214"/>
    </row>
    <row r="613" spans="4:6" ht="12.75">
      <c r="D613" s="214"/>
      <c r="E613" s="214"/>
      <c r="F613" s="214"/>
    </row>
    <row r="614" spans="4:6" ht="12.75">
      <c r="D614" s="214"/>
      <c r="E614" s="214"/>
      <c r="F614" s="214"/>
    </row>
    <row r="615" spans="4:6" ht="12.75">
      <c r="D615" s="214"/>
      <c r="E615" s="214"/>
      <c r="F615" s="214"/>
    </row>
    <row r="616" spans="4:6" ht="12.75">
      <c r="D616" s="214"/>
      <c r="E616" s="214"/>
      <c r="F616" s="214"/>
    </row>
    <row r="617" spans="4:6" ht="12.75">
      <c r="D617" s="214"/>
      <c r="E617" s="214"/>
      <c r="F617" s="214"/>
    </row>
    <row r="618" spans="4:6" ht="12.75">
      <c r="D618" s="214"/>
      <c r="E618" s="214"/>
      <c r="F618" s="214"/>
    </row>
    <row r="619" spans="4:6" ht="12.75">
      <c r="D619" s="214"/>
      <c r="E619" s="214"/>
      <c r="F619" s="214"/>
    </row>
    <row r="620" spans="4:6" ht="12.75">
      <c r="D620" s="214"/>
      <c r="E620" s="214"/>
      <c r="F620" s="214"/>
    </row>
    <row r="621" spans="4:6" ht="12.75">
      <c r="D621" s="214"/>
      <c r="E621" s="214"/>
      <c r="F621" s="214"/>
    </row>
    <row r="622" spans="4:6" ht="12.75">
      <c r="D622" s="214"/>
      <c r="E622" s="214"/>
      <c r="F622" s="214"/>
    </row>
    <row r="623" spans="4:6" ht="12.75">
      <c r="D623" s="214"/>
      <c r="E623" s="214"/>
      <c r="F623" s="214"/>
    </row>
    <row r="624" spans="4:6" ht="12.75">
      <c r="D624" s="214"/>
      <c r="E624" s="214"/>
      <c r="F624" s="214"/>
    </row>
    <row r="625" spans="4:6" ht="12.75">
      <c r="D625" s="214"/>
      <c r="E625" s="214"/>
      <c r="F625" s="214"/>
    </row>
    <row r="626" spans="4:6" ht="12.75">
      <c r="D626" s="214"/>
      <c r="E626" s="214"/>
      <c r="F626" s="214"/>
    </row>
    <row r="627" spans="4:6" ht="12.75">
      <c r="D627" s="214"/>
      <c r="E627" s="214"/>
      <c r="F627" s="214"/>
    </row>
    <row r="628" spans="4:6" ht="12.75">
      <c r="D628" s="214"/>
      <c r="E628" s="214"/>
      <c r="F628" s="214"/>
    </row>
    <row r="629" spans="4:6" ht="12.75">
      <c r="D629" s="214"/>
      <c r="E629" s="214"/>
      <c r="F629" s="214"/>
    </row>
    <row r="630" spans="4:6" ht="12.75">
      <c r="D630" s="214"/>
      <c r="E630" s="214"/>
      <c r="F630" s="214"/>
    </row>
    <row r="631" spans="4:6" ht="12.75">
      <c r="D631" s="214"/>
      <c r="E631" s="214"/>
      <c r="F631" s="214"/>
    </row>
    <row r="632" spans="4:6" ht="12.75">
      <c r="D632" s="214"/>
      <c r="E632" s="214"/>
      <c r="F632" s="214"/>
    </row>
    <row r="633" spans="4:6" ht="12.75">
      <c r="D633" s="214"/>
      <c r="E633" s="214"/>
      <c r="F633" s="214"/>
    </row>
    <row r="634" spans="4:6" ht="12.75">
      <c r="D634" s="214"/>
      <c r="E634" s="214"/>
      <c r="F634" s="214"/>
    </row>
    <row r="635" spans="4:6" ht="12.75">
      <c r="D635" s="214"/>
      <c r="E635" s="214"/>
      <c r="F635" s="214"/>
    </row>
    <row r="636" spans="4:6" ht="12.75">
      <c r="D636" s="214"/>
      <c r="E636" s="214"/>
      <c r="F636" s="214"/>
    </row>
    <row r="637" spans="4:6" ht="12.75">
      <c r="D637" s="214"/>
      <c r="E637" s="214"/>
      <c r="F637" s="214"/>
    </row>
    <row r="638" spans="4:6" ht="12.75">
      <c r="D638" s="214"/>
      <c r="E638" s="214"/>
      <c r="F638" s="214"/>
    </row>
    <row r="639" spans="4:6" ht="12.75">
      <c r="D639" s="214"/>
      <c r="E639" s="214"/>
      <c r="F639" s="214"/>
    </row>
    <row r="640" spans="4:6" ht="12.75">
      <c r="D640" s="214"/>
      <c r="E640" s="214"/>
      <c r="F640" s="214"/>
    </row>
    <row r="641" spans="4:6" ht="12.75">
      <c r="D641" s="214"/>
      <c r="E641" s="214"/>
      <c r="F641" s="214"/>
    </row>
    <row r="642" spans="4:6" ht="12.75">
      <c r="D642" s="214"/>
      <c r="E642" s="214"/>
      <c r="F642" s="214"/>
    </row>
    <row r="643" spans="4:6" ht="12.75">
      <c r="D643" s="214"/>
      <c r="E643" s="214"/>
      <c r="F643" s="214"/>
    </row>
    <row r="644" spans="4:6" ht="12.75">
      <c r="D644" s="214"/>
      <c r="E644" s="214"/>
      <c r="F644" s="214"/>
    </row>
    <row r="645" spans="4:6" ht="12.75">
      <c r="D645" s="214"/>
      <c r="E645" s="214"/>
      <c r="F645" s="214"/>
    </row>
    <row r="646" spans="4:6" ht="12.75">
      <c r="D646" s="214"/>
      <c r="E646" s="214"/>
      <c r="F646" s="214"/>
    </row>
    <row r="647" spans="4:6" ht="12.75">
      <c r="D647" s="214"/>
      <c r="E647" s="214"/>
      <c r="F647" s="214"/>
    </row>
    <row r="648" spans="4:6" ht="12.75">
      <c r="D648" s="214"/>
      <c r="E648" s="214"/>
      <c r="F648" s="214"/>
    </row>
    <row r="649" spans="4:6" ht="12.75">
      <c r="D649" s="214"/>
      <c r="E649" s="214"/>
      <c r="F649" s="214"/>
    </row>
    <row r="650" spans="4:6" ht="12.75">
      <c r="D650" s="214"/>
      <c r="E650" s="214"/>
      <c r="F650" s="214"/>
    </row>
    <row r="651" spans="4:6" ht="12.75">
      <c r="D651" s="214"/>
      <c r="E651" s="214"/>
      <c r="F651" s="214"/>
    </row>
    <row r="652" spans="4:6" ht="12.75">
      <c r="D652" s="214"/>
      <c r="E652" s="214"/>
      <c r="F652" s="214"/>
    </row>
    <row r="653" spans="4:6" ht="12.75">
      <c r="D653" s="214"/>
      <c r="E653" s="214"/>
      <c r="F653" s="214"/>
    </row>
    <row r="654" spans="4:6" ht="12.75">
      <c r="D654" s="214"/>
      <c r="E654" s="214"/>
      <c r="F654" s="214"/>
    </row>
    <row r="655" spans="4:6" ht="12.75">
      <c r="D655" s="214"/>
      <c r="E655" s="214"/>
      <c r="F655" s="214"/>
    </row>
    <row r="656" spans="4:6" ht="12.75">
      <c r="D656" s="214"/>
      <c r="E656" s="214"/>
      <c r="F656" s="214"/>
    </row>
    <row r="657" spans="4:6" ht="12.75">
      <c r="D657" s="214"/>
      <c r="E657" s="214"/>
      <c r="F657" s="214"/>
    </row>
    <row r="658" spans="4:6" ht="12.75">
      <c r="D658" s="214"/>
      <c r="E658" s="214"/>
      <c r="F658" s="214"/>
    </row>
    <row r="659" spans="4:6" ht="12.75">
      <c r="D659" s="214"/>
      <c r="E659" s="214"/>
      <c r="F659" s="214"/>
    </row>
    <row r="660" spans="4:6" ht="12.75">
      <c r="D660" s="214"/>
      <c r="E660" s="214"/>
      <c r="F660" s="214"/>
    </row>
    <row r="661" spans="4:6" ht="12.75">
      <c r="D661" s="214"/>
      <c r="E661" s="214"/>
      <c r="F661" s="214"/>
    </row>
    <row r="662" spans="4:6" ht="12.75">
      <c r="D662" s="214"/>
      <c r="E662" s="214"/>
      <c r="F662" s="214"/>
    </row>
    <row r="663" spans="4:6" ht="12.75">
      <c r="D663" s="214"/>
      <c r="E663" s="214"/>
      <c r="F663" s="214"/>
    </row>
    <row r="664" spans="4:6" ht="12.75">
      <c r="D664" s="214"/>
      <c r="E664" s="214"/>
      <c r="F664" s="214"/>
    </row>
    <row r="665" spans="4:6" ht="12.75">
      <c r="D665" s="214"/>
      <c r="E665" s="214"/>
      <c r="F665" s="214"/>
    </row>
    <row r="666" spans="4:6" ht="12.75">
      <c r="D666" s="214"/>
      <c r="E666" s="214"/>
      <c r="F666" s="214"/>
    </row>
    <row r="667" spans="4:6" ht="12.75">
      <c r="D667" s="214"/>
      <c r="E667" s="214"/>
      <c r="F667" s="214"/>
    </row>
    <row r="668" spans="4:6" ht="12.75">
      <c r="D668" s="214"/>
      <c r="E668" s="214"/>
      <c r="F668" s="214"/>
    </row>
    <row r="669" spans="4:6" ht="12.75">
      <c r="D669" s="214"/>
      <c r="E669" s="214"/>
      <c r="F669" s="214"/>
    </row>
    <row r="670" spans="4:6" ht="12.75">
      <c r="D670" s="214"/>
      <c r="E670" s="214"/>
      <c r="F670" s="214"/>
    </row>
    <row r="671" spans="4:6" ht="12.75">
      <c r="D671" s="214"/>
      <c r="E671" s="214"/>
      <c r="F671" s="214"/>
    </row>
    <row r="672" spans="4:6" ht="12.75">
      <c r="D672" s="214"/>
      <c r="E672" s="214"/>
      <c r="F672" s="214"/>
    </row>
    <row r="673" spans="4:6" ht="12.75">
      <c r="D673" s="214"/>
      <c r="E673" s="214"/>
      <c r="F673" s="214"/>
    </row>
    <row r="674" spans="4:6" ht="12.75">
      <c r="D674" s="214"/>
      <c r="E674" s="214"/>
      <c r="F674" s="214"/>
    </row>
    <row r="675" spans="4:6" ht="12.75">
      <c r="D675" s="214"/>
      <c r="E675" s="214"/>
      <c r="F675" s="214"/>
    </row>
    <row r="676" spans="4:6" ht="12.75">
      <c r="D676" s="214"/>
      <c r="E676" s="214"/>
      <c r="F676" s="214"/>
    </row>
    <row r="677" spans="4:6" ht="12.75">
      <c r="D677" s="214"/>
      <c r="E677" s="214"/>
      <c r="F677" s="214"/>
    </row>
    <row r="678" spans="4:6" ht="12.75">
      <c r="D678" s="214"/>
      <c r="E678" s="214"/>
      <c r="F678" s="214"/>
    </row>
    <row r="679" spans="4:6" ht="12.75">
      <c r="D679" s="214"/>
      <c r="E679" s="214"/>
      <c r="F679" s="214"/>
    </row>
    <row r="680" spans="4:6" ht="12.75">
      <c r="D680" s="214"/>
      <c r="E680" s="214"/>
      <c r="F680" s="214"/>
    </row>
    <row r="681" spans="4:6" ht="12.75">
      <c r="D681" s="214"/>
      <c r="E681" s="214"/>
      <c r="F681" s="214"/>
    </row>
    <row r="682" spans="4:6" ht="12.75">
      <c r="D682" s="214"/>
      <c r="E682" s="214"/>
      <c r="F682" s="214"/>
    </row>
    <row r="683" spans="4:6" ht="12.75">
      <c r="D683" s="214"/>
      <c r="E683" s="214"/>
      <c r="F683" s="214"/>
    </row>
    <row r="684" spans="4:6" ht="12.75">
      <c r="D684" s="214"/>
      <c r="E684" s="214"/>
      <c r="F684" s="214"/>
    </row>
    <row r="685" spans="4:6" ht="12.75">
      <c r="D685" s="214"/>
      <c r="E685" s="214"/>
      <c r="F685" s="214"/>
    </row>
    <row r="686" spans="4:6" ht="12.75">
      <c r="D686" s="214"/>
      <c r="E686" s="214"/>
      <c r="F686" s="214"/>
    </row>
    <row r="687" spans="4:6" ht="12.75">
      <c r="D687" s="214"/>
      <c r="E687" s="214"/>
      <c r="F687" s="214"/>
    </row>
    <row r="688" spans="4:6" ht="12.75">
      <c r="D688" s="214"/>
      <c r="E688" s="214"/>
      <c r="F688" s="214"/>
    </row>
    <row r="689" spans="4:6" ht="12.75">
      <c r="D689" s="214"/>
      <c r="E689" s="214"/>
      <c r="F689" s="214"/>
    </row>
    <row r="690" spans="4:6" ht="12.75">
      <c r="D690" s="214"/>
      <c r="E690" s="214"/>
      <c r="F690" s="214"/>
    </row>
    <row r="691" spans="4:6" ht="12.75">
      <c r="D691" s="214"/>
      <c r="E691" s="214"/>
      <c r="F691" s="214"/>
    </row>
    <row r="692" spans="4:6" ht="12.75">
      <c r="D692" s="214"/>
      <c r="E692" s="214"/>
      <c r="F692" s="214"/>
    </row>
    <row r="693" spans="4:6" ht="12.75">
      <c r="D693" s="214"/>
      <c r="E693" s="214"/>
      <c r="F693" s="214"/>
    </row>
    <row r="694" spans="4:6" ht="12.75">
      <c r="D694" s="214"/>
      <c r="E694" s="214"/>
      <c r="F694" s="214"/>
    </row>
    <row r="695" spans="4:6" ht="12.75">
      <c r="D695" s="214"/>
      <c r="E695" s="214"/>
      <c r="F695" s="214"/>
    </row>
    <row r="696" spans="4:6" ht="12.75">
      <c r="D696" s="214"/>
      <c r="E696" s="214"/>
      <c r="F696" s="214"/>
    </row>
    <row r="697" spans="4:6" ht="12.75">
      <c r="D697" s="214"/>
      <c r="E697" s="214"/>
      <c r="F697" s="214"/>
    </row>
    <row r="698" spans="4:6" ht="12.75">
      <c r="D698" s="214"/>
      <c r="E698" s="214"/>
      <c r="F698" s="214"/>
    </row>
    <row r="699" spans="4:6" ht="12.75">
      <c r="D699" s="214"/>
      <c r="E699" s="214"/>
      <c r="F699" s="214"/>
    </row>
    <row r="700" spans="4:6" ht="12.75">
      <c r="D700" s="214"/>
      <c r="E700" s="214"/>
      <c r="F700" s="214"/>
    </row>
    <row r="701" spans="4:6" ht="12.75">
      <c r="D701" s="214"/>
      <c r="E701" s="214"/>
      <c r="F701" s="214"/>
    </row>
    <row r="702" spans="4:6" ht="12.75">
      <c r="D702" s="214"/>
      <c r="E702" s="214"/>
      <c r="F702" s="214"/>
    </row>
    <row r="703" spans="4:6" ht="12.75">
      <c r="D703" s="214"/>
      <c r="E703" s="214"/>
      <c r="F703" s="214"/>
    </row>
    <row r="704" spans="4:6" ht="12.75">
      <c r="D704" s="214"/>
      <c r="E704" s="214"/>
      <c r="F704" s="214"/>
    </row>
    <row r="705" spans="4:6" ht="12.75">
      <c r="D705" s="214"/>
      <c r="E705" s="214"/>
      <c r="F705" s="214"/>
    </row>
    <row r="706" spans="4:6" ht="12.75">
      <c r="D706" s="214"/>
      <c r="E706" s="214"/>
      <c r="F706" s="214"/>
    </row>
    <row r="707" spans="4:6" ht="12.75">
      <c r="D707" s="214"/>
      <c r="E707" s="214"/>
      <c r="F707" s="214"/>
    </row>
    <row r="708" spans="4:6" ht="12.75">
      <c r="D708" s="214"/>
      <c r="E708" s="214"/>
      <c r="F708" s="214"/>
    </row>
    <row r="709" spans="4:6" ht="12.75">
      <c r="D709" s="214"/>
      <c r="E709" s="214"/>
      <c r="F709" s="214"/>
    </row>
    <row r="710" spans="4:6" ht="12.75">
      <c r="D710" s="214"/>
      <c r="E710" s="214"/>
      <c r="F710" s="214"/>
    </row>
    <row r="711" spans="4:6" ht="12.75">
      <c r="D711" s="214"/>
      <c r="E711" s="214"/>
      <c r="F711" s="214"/>
    </row>
    <row r="712" spans="4:6" ht="12.75">
      <c r="D712" s="214"/>
      <c r="E712" s="214"/>
      <c r="F712" s="214"/>
    </row>
    <row r="713" spans="4:6" ht="12.75">
      <c r="D713" s="214"/>
      <c r="E713" s="214"/>
      <c r="F713" s="214"/>
    </row>
    <row r="714" spans="4:6" ht="12.75">
      <c r="D714" s="214"/>
      <c r="E714" s="214"/>
      <c r="F714" s="214"/>
    </row>
    <row r="715" spans="4:6" ht="12.75">
      <c r="D715" s="214"/>
      <c r="E715" s="214"/>
      <c r="F715" s="214"/>
    </row>
    <row r="716" spans="4:6" ht="12.75">
      <c r="D716" s="214"/>
      <c r="E716" s="214"/>
      <c r="F716" s="214"/>
    </row>
    <row r="717" spans="4:6" ht="12.75">
      <c r="D717" s="214"/>
      <c r="E717" s="214"/>
      <c r="F717" s="214"/>
    </row>
    <row r="718" spans="4:6" ht="12.75">
      <c r="D718" s="214"/>
      <c r="E718" s="214"/>
      <c r="F718" s="214"/>
    </row>
    <row r="719" spans="4:6" ht="12.75">
      <c r="D719" s="214"/>
      <c r="E719" s="214"/>
      <c r="F719" s="214"/>
    </row>
    <row r="720" spans="4:6" ht="12.75">
      <c r="D720" s="214"/>
      <c r="E720" s="214"/>
      <c r="F720" s="214"/>
    </row>
    <row r="721" spans="4:6" ht="12.75">
      <c r="D721" s="214"/>
      <c r="E721" s="214"/>
      <c r="F721" s="214"/>
    </row>
    <row r="722" spans="4:6" ht="12.75">
      <c r="D722" s="214"/>
      <c r="E722" s="214"/>
      <c r="F722" s="214"/>
    </row>
    <row r="723" spans="4:6" ht="12.75">
      <c r="D723" s="214"/>
      <c r="E723" s="214"/>
      <c r="F723" s="214"/>
    </row>
    <row r="724" spans="4:6" ht="12.75">
      <c r="D724" s="214"/>
      <c r="E724" s="214"/>
      <c r="F724" s="214"/>
    </row>
    <row r="725" spans="4:6" ht="12.75">
      <c r="D725" s="214"/>
      <c r="E725" s="214"/>
      <c r="F725" s="214"/>
    </row>
    <row r="726" spans="4:6" ht="12.75">
      <c r="D726" s="214"/>
      <c r="E726" s="214"/>
      <c r="F726" s="214"/>
    </row>
    <row r="727" spans="4:6" ht="12.75">
      <c r="D727" s="214"/>
      <c r="E727" s="214"/>
      <c r="F727" s="214"/>
    </row>
    <row r="728" spans="4:6" ht="12.75">
      <c r="D728" s="214"/>
      <c r="E728" s="214"/>
      <c r="F728" s="214"/>
    </row>
    <row r="729" spans="4:6" ht="12.75">
      <c r="D729" s="214"/>
      <c r="E729" s="214"/>
      <c r="F729" s="214"/>
    </row>
    <row r="730" spans="4:6" ht="12.75">
      <c r="D730" s="214"/>
      <c r="E730" s="214"/>
      <c r="F730" s="214"/>
    </row>
    <row r="731" spans="4:6" ht="12.75">
      <c r="D731" s="214"/>
      <c r="E731" s="214"/>
      <c r="F731" s="214"/>
    </row>
    <row r="732" spans="4:6" ht="12.75">
      <c r="D732" s="214"/>
      <c r="E732" s="214"/>
      <c r="F732" s="214"/>
    </row>
    <row r="733" spans="4:6" ht="12.75">
      <c r="D733" s="214"/>
      <c r="E733" s="214"/>
      <c r="F733" s="214"/>
    </row>
    <row r="734" spans="4:6" ht="12.75">
      <c r="D734" s="214"/>
      <c r="E734" s="214"/>
      <c r="F734" s="214"/>
    </row>
    <row r="735" spans="4:6" ht="12.75">
      <c r="D735" s="214"/>
      <c r="E735" s="214"/>
      <c r="F735" s="214"/>
    </row>
    <row r="736" spans="4:6" ht="12.75">
      <c r="D736" s="214"/>
      <c r="E736" s="214"/>
      <c r="F736" s="214"/>
    </row>
    <row r="737" spans="4:6" ht="12.75">
      <c r="D737" s="214"/>
      <c r="E737" s="214"/>
      <c r="F737" s="214"/>
    </row>
    <row r="738" spans="4:6" ht="12.75">
      <c r="D738" s="214"/>
      <c r="E738" s="214"/>
      <c r="F738" s="214"/>
    </row>
    <row r="739" spans="4:6" ht="12.75">
      <c r="D739" s="214"/>
      <c r="E739" s="214"/>
      <c r="F739" s="214"/>
    </row>
    <row r="740" spans="4:6" ht="12.75">
      <c r="D740" s="214"/>
      <c r="E740" s="214"/>
      <c r="F740" s="214"/>
    </row>
    <row r="741" spans="4:6" ht="12.75">
      <c r="D741" s="214"/>
      <c r="E741" s="214"/>
      <c r="F741" s="214"/>
    </row>
    <row r="742" spans="4:6" ht="12.75">
      <c r="D742" s="214"/>
      <c r="E742" s="214"/>
      <c r="F742" s="214"/>
    </row>
    <row r="743" spans="4:6" ht="12.75">
      <c r="D743" s="214"/>
      <c r="E743" s="214"/>
      <c r="F743" s="214"/>
    </row>
    <row r="744" spans="4:6" ht="12.75">
      <c r="D744" s="214"/>
      <c r="E744" s="214"/>
      <c r="F744" s="214"/>
    </row>
    <row r="745" spans="4:6" ht="12.75">
      <c r="D745" s="214"/>
      <c r="E745" s="214"/>
      <c r="F745" s="214"/>
    </row>
    <row r="746" spans="4:6" ht="12.75">
      <c r="D746" s="214"/>
      <c r="E746" s="214"/>
      <c r="F746" s="214"/>
    </row>
    <row r="747" spans="4:6" ht="12.75">
      <c r="D747" s="214"/>
      <c r="E747" s="214"/>
      <c r="F747" s="214"/>
    </row>
    <row r="748" spans="4:6" ht="12.75">
      <c r="D748" s="214"/>
      <c r="E748" s="214"/>
      <c r="F748" s="214"/>
    </row>
    <row r="749" spans="4:6" ht="12.75">
      <c r="D749" s="214"/>
      <c r="E749" s="214"/>
      <c r="F749" s="214"/>
    </row>
    <row r="750" spans="4:6" ht="12.75">
      <c r="D750" s="214"/>
      <c r="E750" s="214"/>
      <c r="F750" s="214"/>
    </row>
    <row r="751" spans="4:6" ht="12.75">
      <c r="D751" s="214"/>
      <c r="E751" s="214"/>
      <c r="F751" s="214"/>
    </row>
    <row r="752" spans="4:6" ht="12.75">
      <c r="D752" s="214"/>
      <c r="E752" s="214"/>
      <c r="F752" s="214"/>
    </row>
    <row r="753" spans="4:6" ht="12.75">
      <c r="D753" s="214"/>
      <c r="E753" s="214"/>
      <c r="F753" s="214"/>
    </row>
    <row r="754" spans="4:6" ht="12.75">
      <c r="D754" s="214"/>
      <c r="E754" s="214"/>
      <c r="F754" s="214"/>
    </row>
    <row r="755" spans="4:6" ht="12.75">
      <c r="D755" s="214"/>
      <c r="E755" s="214"/>
      <c r="F755" s="214"/>
    </row>
    <row r="756" spans="4:6" ht="12.75">
      <c r="D756" s="214"/>
      <c r="E756" s="214"/>
      <c r="F756" s="214"/>
    </row>
    <row r="757" spans="4:6" ht="12.75">
      <c r="D757" s="214"/>
      <c r="E757" s="214"/>
      <c r="F757" s="214"/>
    </row>
    <row r="758" spans="4:6" ht="12.75">
      <c r="D758" s="214"/>
      <c r="E758" s="214"/>
      <c r="F758" s="214"/>
    </row>
    <row r="759" spans="4:6" ht="12.75">
      <c r="D759" s="214"/>
      <c r="E759" s="214"/>
      <c r="F759" s="214"/>
    </row>
    <row r="760" spans="4:6" ht="12.75">
      <c r="D760" s="214"/>
      <c r="E760" s="214"/>
      <c r="F760" s="214"/>
    </row>
    <row r="761" spans="4:6" ht="12.75">
      <c r="D761" s="214"/>
      <c r="E761" s="214"/>
      <c r="F761" s="214"/>
    </row>
    <row r="762" spans="4:6" ht="12.75">
      <c r="D762" s="214"/>
      <c r="E762" s="214"/>
      <c r="F762" s="214"/>
    </row>
    <row r="763" spans="4:6" ht="12.75">
      <c r="D763" s="214"/>
      <c r="E763" s="214"/>
      <c r="F763" s="214"/>
    </row>
    <row r="764" spans="4:6" ht="12.75">
      <c r="D764" s="214"/>
      <c r="E764" s="214"/>
      <c r="F764" s="214"/>
    </row>
    <row r="765" spans="4:6" ht="12.75">
      <c r="D765" s="214"/>
      <c r="E765" s="214"/>
      <c r="F765" s="214"/>
    </row>
    <row r="766" spans="4:6" ht="12.75">
      <c r="D766" s="214"/>
      <c r="E766" s="214"/>
      <c r="F766" s="214"/>
    </row>
    <row r="767" spans="4:6" ht="12.75">
      <c r="D767" s="214"/>
      <c r="E767" s="214"/>
      <c r="F767" s="214"/>
    </row>
    <row r="768" spans="4:6" ht="12.75">
      <c r="D768" s="214"/>
      <c r="E768" s="214"/>
      <c r="F768" s="214"/>
    </row>
    <row r="769" spans="4:6" ht="12.75">
      <c r="D769" s="214"/>
      <c r="E769" s="214"/>
      <c r="F769" s="214"/>
    </row>
    <row r="770" spans="4:6" ht="12.75">
      <c r="D770" s="214"/>
      <c r="E770" s="214"/>
      <c r="F770" s="214"/>
    </row>
    <row r="771" spans="4:6" ht="12.75">
      <c r="D771" s="214"/>
      <c r="E771" s="214"/>
      <c r="F771" s="214"/>
    </row>
    <row r="772" spans="4:6" ht="12.75">
      <c r="D772" s="214"/>
      <c r="E772" s="214"/>
      <c r="F772" s="214"/>
    </row>
    <row r="773" spans="4:6" ht="12.75">
      <c r="D773" s="214"/>
      <c r="E773" s="214"/>
      <c r="F773" s="214"/>
    </row>
    <row r="774" spans="4:6" ht="12.75">
      <c r="D774" s="214"/>
      <c r="E774" s="214"/>
      <c r="F774" s="214"/>
    </row>
    <row r="775" spans="4:6" ht="12.75">
      <c r="D775" s="214"/>
      <c r="E775" s="214"/>
      <c r="F775" s="214"/>
    </row>
    <row r="776" spans="4:6" ht="12.75">
      <c r="D776" s="214"/>
      <c r="E776" s="214"/>
      <c r="F776" s="214"/>
    </row>
    <row r="777" spans="4:6" ht="12.75">
      <c r="D777" s="214"/>
      <c r="E777" s="214"/>
      <c r="F777" s="214"/>
    </row>
    <row r="778" spans="4:6" ht="12.75">
      <c r="D778" s="214"/>
      <c r="E778" s="214"/>
      <c r="F778" s="214"/>
    </row>
    <row r="779" spans="4:6" ht="12.75">
      <c r="D779" s="214"/>
      <c r="E779" s="214"/>
      <c r="F779" s="214"/>
    </row>
    <row r="780" spans="4:6" ht="12.75">
      <c r="D780" s="214"/>
      <c r="E780" s="214"/>
      <c r="F780" s="214"/>
    </row>
    <row r="781" spans="4:6" ht="12.75">
      <c r="D781" s="214"/>
      <c r="E781" s="214"/>
      <c r="F781" s="214"/>
    </row>
    <row r="782" spans="4:6" ht="12.75">
      <c r="D782" s="214"/>
      <c r="E782" s="214"/>
      <c r="F782" s="214"/>
    </row>
    <row r="783" spans="4:6" ht="12.75">
      <c r="D783" s="214"/>
      <c r="E783" s="214"/>
      <c r="F783" s="214"/>
    </row>
    <row r="784" spans="4:6" ht="12.75">
      <c r="D784" s="214"/>
      <c r="E784" s="214"/>
      <c r="F784" s="214"/>
    </row>
    <row r="785" spans="4:6" ht="12.75">
      <c r="D785" s="214"/>
      <c r="E785" s="214"/>
      <c r="F785" s="214"/>
    </row>
    <row r="786" spans="4:6" ht="12.75">
      <c r="D786" s="214"/>
      <c r="E786" s="214"/>
      <c r="F786" s="214"/>
    </row>
    <row r="787" spans="4:6" ht="12.75">
      <c r="D787" s="214"/>
      <c r="E787" s="214"/>
      <c r="F787" s="214"/>
    </row>
    <row r="788" spans="4:6" ht="12.75">
      <c r="D788" s="214"/>
      <c r="E788" s="214"/>
      <c r="F788" s="214"/>
    </row>
    <row r="789" spans="4:6" ht="12.75">
      <c r="D789" s="214"/>
      <c r="E789" s="214"/>
      <c r="F789" s="214"/>
    </row>
    <row r="790" spans="4:6" ht="12.75">
      <c r="D790" s="214"/>
      <c r="E790" s="214"/>
      <c r="F790" s="214"/>
    </row>
    <row r="791" spans="4:6" ht="12.75">
      <c r="D791" s="214"/>
      <c r="E791" s="214"/>
      <c r="F791" s="214"/>
    </row>
    <row r="792" spans="4:6" ht="12.75">
      <c r="D792" s="214"/>
      <c r="E792" s="214"/>
      <c r="F792" s="214"/>
    </row>
    <row r="793" spans="4:6" ht="12.75">
      <c r="D793" s="214"/>
      <c r="E793" s="214"/>
      <c r="F793" s="214"/>
    </row>
    <row r="794" spans="4:6" ht="12.75">
      <c r="D794" s="214"/>
      <c r="E794" s="214"/>
      <c r="F794" s="214"/>
    </row>
    <row r="795" spans="4:6" ht="12.75">
      <c r="D795" s="214"/>
      <c r="E795" s="214"/>
      <c r="F795" s="214"/>
    </row>
    <row r="796" spans="4:6" ht="12.75">
      <c r="D796" s="214"/>
      <c r="E796" s="214"/>
      <c r="F796" s="214"/>
    </row>
    <row r="797" spans="4:6" ht="12.75">
      <c r="D797" s="214"/>
      <c r="E797" s="214"/>
      <c r="F797" s="214"/>
    </row>
    <row r="798" spans="4:6" ht="12.75">
      <c r="D798" s="214"/>
      <c r="E798" s="214"/>
      <c r="F798" s="214"/>
    </row>
    <row r="799" spans="4:6" ht="12.75">
      <c r="D799" s="214"/>
      <c r="E799" s="214"/>
      <c r="F799" s="214"/>
    </row>
    <row r="800" spans="4:6" ht="12.75">
      <c r="D800" s="214"/>
      <c r="E800" s="214"/>
      <c r="F800" s="214"/>
    </row>
    <row r="801" spans="4:6" ht="12.75">
      <c r="D801" s="214"/>
      <c r="E801" s="214"/>
      <c r="F801" s="214"/>
    </row>
    <row r="802" spans="4:6" ht="12.75">
      <c r="D802" s="214"/>
      <c r="E802" s="214"/>
      <c r="F802" s="214"/>
    </row>
    <row r="803" spans="4:6" ht="12.75">
      <c r="D803" s="214"/>
      <c r="E803" s="214"/>
      <c r="F803" s="214"/>
    </row>
    <row r="804" spans="4:6" ht="12.75">
      <c r="D804" s="214"/>
      <c r="E804" s="214"/>
      <c r="F804" s="214"/>
    </row>
    <row r="805" spans="4:6" ht="12.75">
      <c r="D805" s="214"/>
      <c r="E805" s="214"/>
      <c r="F805" s="214"/>
    </row>
    <row r="806" spans="4:6" ht="12.75">
      <c r="D806" s="214"/>
      <c r="E806" s="214"/>
      <c r="F806" s="214"/>
    </row>
    <row r="807" spans="4:6" ht="12.75">
      <c r="D807" s="214"/>
      <c r="E807" s="214"/>
      <c r="F807" s="214"/>
    </row>
    <row r="808" spans="4:6" ht="12.75">
      <c r="D808" s="214"/>
      <c r="E808" s="214"/>
      <c r="F808" s="214"/>
    </row>
    <row r="809" spans="4:6" ht="12.75">
      <c r="D809" s="214"/>
      <c r="E809" s="214"/>
      <c r="F809" s="214"/>
    </row>
    <row r="810" spans="4:6" ht="12.75">
      <c r="D810" s="214"/>
      <c r="E810" s="214"/>
      <c r="F810" s="214"/>
    </row>
    <row r="811" spans="4:6" ht="12.75">
      <c r="D811" s="214"/>
      <c r="E811" s="214"/>
      <c r="F811" s="214"/>
    </row>
    <row r="812" spans="4:6" ht="12.75">
      <c r="D812" s="214"/>
      <c r="E812" s="214"/>
      <c r="F812" s="214"/>
    </row>
    <row r="813" spans="4:6" ht="12.75">
      <c r="D813" s="214"/>
      <c r="E813" s="214"/>
      <c r="F813" s="214"/>
    </row>
    <row r="814" spans="4:6" ht="12.75">
      <c r="D814" s="214"/>
      <c r="E814" s="214"/>
      <c r="F814" s="214"/>
    </row>
    <row r="815" spans="4:6" ht="12.75">
      <c r="D815" s="214"/>
      <c r="E815" s="214"/>
      <c r="F815" s="214"/>
    </row>
    <row r="816" spans="4:6" ht="12.75">
      <c r="D816" s="214"/>
      <c r="E816" s="214"/>
      <c r="F816" s="214"/>
    </row>
    <row r="817" spans="4:6" ht="12.75">
      <c r="D817" s="214"/>
      <c r="E817" s="214"/>
      <c r="F817" s="214"/>
    </row>
    <row r="818" spans="4:6" ht="12.75">
      <c r="D818" s="214"/>
      <c r="E818" s="214"/>
      <c r="F818" s="214"/>
    </row>
    <row r="819" spans="4:6" ht="12.75">
      <c r="D819" s="214"/>
      <c r="E819" s="214"/>
      <c r="F819" s="214"/>
    </row>
    <row r="820" spans="4:6" ht="12.75">
      <c r="D820" s="214"/>
      <c r="E820" s="214"/>
      <c r="F820" s="214"/>
    </row>
    <row r="821" spans="4:6" ht="12.75">
      <c r="D821" s="214"/>
      <c r="E821" s="214"/>
      <c r="F821" s="214"/>
    </row>
    <row r="822" spans="4:6" ht="12.75">
      <c r="D822" s="214"/>
      <c r="E822" s="214"/>
      <c r="F822" s="214"/>
    </row>
    <row r="823" spans="4:6" ht="12.75">
      <c r="D823" s="214"/>
      <c r="E823" s="214"/>
      <c r="F823" s="214"/>
    </row>
    <row r="824" spans="4:6" ht="12.75">
      <c r="D824" s="214"/>
      <c r="E824" s="214"/>
      <c r="F824" s="214"/>
    </row>
    <row r="825" spans="4:6" ht="12.75">
      <c r="D825" s="214"/>
      <c r="E825" s="214"/>
      <c r="F825" s="214"/>
    </row>
    <row r="826" spans="4:6" ht="12.75">
      <c r="D826" s="214"/>
      <c r="E826" s="214"/>
      <c r="F826" s="214"/>
    </row>
    <row r="827" spans="4:6" ht="12.75">
      <c r="D827" s="214"/>
      <c r="E827" s="214"/>
      <c r="F827" s="214"/>
    </row>
    <row r="828" spans="4:6" ht="12.75">
      <c r="D828" s="214"/>
      <c r="E828" s="214"/>
      <c r="F828" s="214"/>
    </row>
    <row r="829" spans="4:6" ht="12.75">
      <c r="D829" s="214"/>
      <c r="E829" s="214"/>
      <c r="F829" s="214"/>
    </row>
    <row r="830" spans="4:6" ht="12.75">
      <c r="D830" s="214"/>
      <c r="E830" s="214"/>
      <c r="F830" s="214"/>
    </row>
    <row r="831" spans="4:6" ht="12.75">
      <c r="D831" s="214"/>
      <c r="E831" s="214"/>
      <c r="F831" s="214"/>
    </row>
    <row r="832" spans="4:6" ht="12.75">
      <c r="D832" s="214"/>
      <c r="E832" s="214"/>
      <c r="F832" s="214"/>
    </row>
    <row r="833" spans="4:6" ht="12.75">
      <c r="D833" s="214"/>
      <c r="E833" s="214"/>
      <c r="F833" s="214"/>
    </row>
    <row r="834" spans="4:6" ht="12.75">
      <c r="D834" s="214"/>
      <c r="E834" s="214"/>
      <c r="F834" s="214"/>
    </row>
    <row r="835" spans="4:6" ht="12.75">
      <c r="D835" s="214"/>
      <c r="E835" s="214"/>
      <c r="F835" s="214"/>
    </row>
    <row r="836" spans="4:6" ht="12.75">
      <c r="D836" s="214"/>
      <c r="E836" s="214"/>
      <c r="F836" s="214"/>
    </row>
    <row r="837" spans="4:6" ht="12.75">
      <c r="D837" s="214"/>
      <c r="E837" s="214"/>
      <c r="F837" s="214"/>
    </row>
    <row r="838" spans="4:6" ht="12.75">
      <c r="D838" s="214"/>
      <c r="E838" s="214"/>
      <c r="F838" s="214"/>
    </row>
    <row r="839" spans="4:6" ht="12.75">
      <c r="D839" s="214"/>
      <c r="E839" s="214"/>
      <c r="F839" s="214"/>
    </row>
    <row r="840" spans="4:6" ht="12.75">
      <c r="D840" s="214"/>
      <c r="E840" s="214"/>
      <c r="F840" s="214"/>
    </row>
    <row r="841" spans="4:6" ht="12.75">
      <c r="D841" s="214"/>
      <c r="E841" s="214"/>
      <c r="F841" s="214"/>
    </row>
    <row r="842" spans="4:6" ht="12.75">
      <c r="D842" s="214"/>
      <c r="E842" s="214"/>
      <c r="F842" s="214"/>
    </row>
    <row r="843" spans="4:6" ht="12.75">
      <c r="D843" s="214"/>
      <c r="E843" s="214"/>
      <c r="F843" s="214"/>
    </row>
    <row r="844" spans="4:6" ht="12.75">
      <c r="D844" s="214"/>
      <c r="E844" s="214"/>
      <c r="F844" s="214"/>
    </row>
    <row r="845" spans="4:6" ht="12.75">
      <c r="D845" s="214"/>
      <c r="E845" s="214"/>
      <c r="F845" s="214"/>
    </row>
    <row r="846" spans="4:6" ht="12.75">
      <c r="D846" s="214"/>
      <c r="E846" s="214"/>
      <c r="F846" s="214"/>
    </row>
    <row r="847" spans="4:6" ht="12.75">
      <c r="D847" s="214"/>
      <c r="E847" s="214"/>
      <c r="F847" s="214"/>
    </row>
    <row r="848" spans="4:6" ht="12.75">
      <c r="D848" s="214"/>
      <c r="E848" s="214"/>
      <c r="F848" s="214"/>
    </row>
    <row r="849" spans="4:6" ht="12.75">
      <c r="D849" s="214"/>
      <c r="E849" s="214"/>
      <c r="F849" s="214"/>
    </row>
    <row r="850" spans="4:6" ht="12.75">
      <c r="D850" s="214"/>
      <c r="E850" s="214"/>
      <c r="F850" s="214"/>
    </row>
    <row r="851" spans="4:6" ht="12.75">
      <c r="D851" s="214"/>
      <c r="E851" s="214"/>
      <c r="F851" s="214"/>
    </row>
    <row r="852" spans="4:6" ht="12.75">
      <c r="D852" s="214"/>
      <c r="E852" s="214"/>
      <c r="F852" s="214"/>
    </row>
    <row r="853" spans="4:6" ht="12.75">
      <c r="D853" s="214"/>
      <c r="E853" s="214"/>
      <c r="F853" s="214"/>
    </row>
    <row r="854" spans="4:6" ht="12.75">
      <c r="D854" s="214"/>
      <c r="E854" s="214"/>
      <c r="F854" s="214"/>
    </row>
    <row r="855" spans="4:6" ht="12.75">
      <c r="D855" s="214"/>
      <c r="E855" s="214"/>
      <c r="F855" s="214"/>
    </row>
    <row r="856" spans="4:6" ht="12.75">
      <c r="D856" s="214"/>
      <c r="E856" s="214"/>
      <c r="F856" s="214"/>
    </row>
    <row r="857" spans="4:6" ht="12.75">
      <c r="D857" s="214"/>
      <c r="E857" s="214"/>
      <c r="F857" s="214"/>
    </row>
    <row r="858" spans="4:6" ht="12.75">
      <c r="D858" s="214"/>
      <c r="E858" s="214"/>
      <c r="F858" s="214"/>
    </row>
    <row r="859" spans="4:6" ht="12.75">
      <c r="D859" s="214"/>
      <c r="E859" s="214"/>
      <c r="F859" s="214"/>
    </row>
    <row r="860" spans="4:6" ht="12.75">
      <c r="D860" s="214"/>
      <c r="E860" s="214"/>
      <c r="F860" s="214"/>
    </row>
    <row r="861" spans="4:6" ht="12.75">
      <c r="D861" s="214"/>
      <c r="E861" s="214"/>
      <c r="F861" s="214"/>
    </row>
    <row r="862" spans="4:6" ht="12.75">
      <c r="D862" s="214"/>
      <c r="E862" s="214"/>
      <c r="F862" s="214"/>
    </row>
    <row r="863" spans="4:6" ht="12.75">
      <c r="D863" s="214"/>
      <c r="E863" s="214"/>
      <c r="F863" s="214"/>
    </row>
    <row r="864" spans="4:6" ht="12.75">
      <c r="D864" s="214"/>
      <c r="E864" s="214"/>
      <c r="F864" s="214"/>
    </row>
    <row r="865" spans="4:6" ht="12.75">
      <c r="D865" s="214"/>
      <c r="E865" s="214"/>
      <c r="F865" s="214"/>
    </row>
    <row r="866" spans="4:6" ht="12.75">
      <c r="D866" s="214"/>
      <c r="E866" s="214"/>
      <c r="F866" s="214"/>
    </row>
    <row r="867" spans="4:6" ht="12.75">
      <c r="D867" s="214"/>
      <c r="E867" s="214"/>
      <c r="F867" s="214"/>
    </row>
    <row r="868" spans="4:6" ht="12.75">
      <c r="D868" s="214"/>
      <c r="E868" s="214"/>
      <c r="F868" s="214"/>
    </row>
    <row r="869" spans="4:6" ht="12.75">
      <c r="D869" s="214"/>
      <c r="E869" s="214"/>
      <c r="F869" s="214"/>
    </row>
    <row r="870" spans="4:6" ht="12.75">
      <c r="D870" s="214"/>
      <c r="E870" s="214"/>
      <c r="F870" s="214"/>
    </row>
    <row r="871" spans="4:6" ht="12.75">
      <c r="D871" s="214"/>
      <c r="E871" s="214"/>
      <c r="F871" s="214"/>
    </row>
    <row r="872" spans="4:6" ht="12.75">
      <c r="D872" s="214"/>
      <c r="E872" s="214"/>
      <c r="F872" s="214"/>
    </row>
    <row r="873" spans="4:6" ht="12.75">
      <c r="D873" s="214"/>
      <c r="E873" s="214"/>
      <c r="F873" s="214"/>
    </row>
    <row r="874" spans="4:6" ht="12.75">
      <c r="D874" s="214"/>
      <c r="E874" s="214"/>
      <c r="F874" s="214"/>
    </row>
    <row r="875" spans="4:6" ht="12.75">
      <c r="D875" s="214"/>
      <c r="E875" s="214"/>
      <c r="F875" s="214"/>
    </row>
    <row r="876" spans="4:6" ht="12.75">
      <c r="D876" s="214"/>
      <c r="E876" s="214"/>
      <c r="F876" s="214"/>
    </row>
    <row r="877" spans="4:6" ht="12.75">
      <c r="D877" s="214"/>
      <c r="E877" s="214"/>
      <c r="F877" s="214"/>
    </row>
    <row r="878" spans="4:6" ht="12.75">
      <c r="D878" s="214"/>
      <c r="E878" s="214"/>
      <c r="F878" s="214"/>
    </row>
    <row r="879" spans="4:6" ht="12.75">
      <c r="D879" s="214"/>
      <c r="E879" s="214"/>
      <c r="F879" s="214"/>
    </row>
    <row r="880" spans="4:6" ht="12.75">
      <c r="D880" s="214"/>
      <c r="E880" s="214"/>
      <c r="F880" s="214"/>
    </row>
    <row r="881" spans="4:6" ht="12.75">
      <c r="D881" s="214"/>
      <c r="E881" s="214"/>
      <c r="F881" s="214"/>
    </row>
    <row r="882" spans="4:6" ht="12.75">
      <c r="D882" s="214"/>
      <c r="E882" s="214"/>
      <c r="F882" s="214"/>
    </row>
    <row r="883" spans="4:6" ht="12.75">
      <c r="D883" s="214"/>
      <c r="E883" s="214"/>
      <c r="F883" s="214"/>
    </row>
    <row r="884" spans="4:6" ht="12.75">
      <c r="D884" s="214"/>
      <c r="E884" s="214"/>
      <c r="F884" s="214"/>
    </row>
    <row r="885" spans="4:6" ht="12.75">
      <c r="D885" s="214"/>
      <c r="E885" s="214"/>
      <c r="F885" s="214"/>
    </row>
    <row r="886" spans="4:6" ht="12.75">
      <c r="D886" s="214"/>
      <c r="E886" s="214"/>
      <c r="F886" s="214"/>
    </row>
    <row r="887" spans="4:6" ht="12.75">
      <c r="D887" s="214"/>
      <c r="E887" s="214"/>
      <c r="F887" s="214"/>
    </row>
    <row r="888" spans="4:6" ht="12.75">
      <c r="D888" s="214"/>
      <c r="E888" s="214"/>
      <c r="F888" s="214"/>
    </row>
    <row r="889" spans="4:6" ht="12.75">
      <c r="D889" s="214"/>
      <c r="E889" s="214"/>
      <c r="F889" s="214"/>
    </row>
    <row r="890" spans="4:6" ht="12.75">
      <c r="D890" s="214"/>
      <c r="E890" s="214"/>
      <c r="F890" s="214"/>
    </row>
    <row r="891" spans="4:6" ht="12.75">
      <c r="D891" s="214"/>
      <c r="E891" s="214"/>
      <c r="F891" s="214"/>
    </row>
    <row r="892" spans="4:6" ht="12.75">
      <c r="D892" s="214"/>
      <c r="E892" s="214"/>
      <c r="F892" s="214"/>
    </row>
    <row r="893" spans="4:6" ht="12.75">
      <c r="D893" s="214"/>
      <c r="E893" s="214"/>
      <c r="F893" s="214"/>
    </row>
    <row r="894" spans="4:6" ht="12.75">
      <c r="D894" s="214"/>
      <c r="E894" s="214"/>
      <c r="F894" s="214"/>
    </row>
    <row r="895" spans="4:6" ht="12.75">
      <c r="D895" s="214"/>
      <c r="E895" s="214"/>
      <c r="F895" s="214"/>
    </row>
    <row r="896" spans="4:6" ht="12.75">
      <c r="D896" s="214"/>
      <c r="E896" s="214"/>
      <c r="F896" s="214"/>
    </row>
    <row r="897" spans="4:6" ht="12.75">
      <c r="D897" s="214"/>
      <c r="E897" s="214"/>
      <c r="F897" s="214"/>
    </row>
    <row r="898" spans="4:6" ht="12.75">
      <c r="D898" s="214"/>
      <c r="E898" s="214"/>
      <c r="F898" s="214"/>
    </row>
    <row r="899" spans="4:6" ht="12.75">
      <c r="D899" s="214"/>
      <c r="E899" s="214"/>
      <c r="F899" s="214"/>
    </row>
    <row r="900" spans="4:6" ht="12.75">
      <c r="D900" s="214"/>
      <c r="E900" s="214"/>
      <c r="F900" s="214"/>
    </row>
    <row r="901" spans="4:6" ht="12.75">
      <c r="D901" s="214"/>
      <c r="E901" s="214"/>
      <c r="F901" s="214"/>
    </row>
    <row r="902" spans="4:6" ht="12.75">
      <c r="D902" s="214"/>
      <c r="E902" s="214"/>
      <c r="F902" s="214"/>
    </row>
    <row r="903" spans="4:6" ht="12.75">
      <c r="D903" s="214"/>
      <c r="E903" s="214"/>
      <c r="F903" s="214"/>
    </row>
    <row r="904" spans="4:6" ht="12.75">
      <c r="D904" s="214"/>
      <c r="E904" s="214"/>
      <c r="F904" s="214"/>
    </row>
    <row r="905" spans="4:6" ht="12.75">
      <c r="D905" s="214"/>
      <c r="E905" s="214"/>
      <c r="F905" s="214"/>
    </row>
    <row r="906" spans="4:6" ht="12.75">
      <c r="D906" s="214"/>
      <c r="E906" s="214"/>
      <c r="F906" s="214"/>
    </row>
    <row r="907" spans="4:6" ht="12.75">
      <c r="D907" s="214"/>
      <c r="E907" s="214"/>
      <c r="F907" s="214"/>
    </row>
    <row r="908" spans="4:6" ht="12.75">
      <c r="D908" s="214"/>
      <c r="E908" s="214"/>
      <c r="F908" s="214"/>
    </row>
    <row r="909" spans="4:6" ht="12.75">
      <c r="D909" s="214"/>
      <c r="E909" s="214"/>
      <c r="F909" s="214"/>
    </row>
    <row r="910" spans="4:6" ht="12.75">
      <c r="D910" s="214"/>
      <c r="E910" s="214"/>
      <c r="F910" s="214"/>
    </row>
    <row r="911" spans="4:6" ht="12.75">
      <c r="D911" s="214"/>
      <c r="E911" s="214"/>
      <c r="F911" s="214"/>
    </row>
    <row r="912" spans="4:6" ht="12.75">
      <c r="D912" s="214"/>
      <c r="E912" s="214"/>
      <c r="F912" s="214"/>
    </row>
    <row r="913" spans="4:6" ht="12.75">
      <c r="D913" s="214"/>
      <c r="E913" s="214"/>
      <c r="F913" s="214"/>
    </row>
    <row r="914" spans="4:6" ht="12.75">
      <c r="D914" s="214"/>
      <c r="E914" s="214"/>
      <c r="F914" s="214"/>
    </row>
    <row r="915" spans="4:6" ht="12.75">
      <c r="D915" s="214"/>
      <c r="E915" s="214"/>
      <c r="F915" s="214"/>
    </row>
    <row r="916" spans="4:6" ht="12.75">
      <c r="D916" s="214"/>
      <c r="E916" s="214"/>
      <c r="F916" s="214"/>
    </row>
    <row r="917" spans="4:6" ht="12.75">
      <c r="D917" s="214"/>
      <c r="E917" s="214"/>
      <c r="F917" s="214"/>
    </row>
    <row r="918" spans="4:6" ht="12.75">
      <c r="D918" s="214"/>
      <c r="E918" s="214"/>
      <c r="F918" s="214"/>
    </row>
    <row r="919" spans="4:6" ht="12.75">
      <c r="D919" s="214"/>
      <c r="E919" s="214"/>
      <c r="F919" s="214"/>
    </row>
    <row r="920" spans="4:6" ht="12.75">
      <c r="D920" s="214"/>
      <c r="E920" s="214"/>
      <c r="F920" s="214"/>
    </row>
    <row r="921" spans="4:6" ht="12.75">
      <c r="D921" s="214"/>
      <c r="E921" s="214"/>
      <c r="F921" s="214"/>
    </row>
    <row r="922" spans="4:6" ht="12.75">
      <c r="D922" s="214"/>
      <c r="E922" s="214"/>
      <c r="F922" s="214"/>
    </row>
    <row r="923" spans="4:6" ht="12.75">
      <c r="D923" s="214"/>
      <c r="E923" s="214"/>
      <c r="F923" s="214"/>
    </row>
    <row r="924" spans="4:6" ht="12.75">
      <c r="D924" s="214"/>
      <c r="E924" s="214"/>
      <c r="F924" s="214"/>
    </row>
    <row r="925" spans="4:6" ht="12.75">
      <c r="D925" s="214"/>
      <c r="E925" s="214"/>
      <c r="F925" s="214"/>
    </row>
    <row r="926" spans="4:6" ht="12.75">
      <c r="D926" s="214"/>
      <c r="E926" s="214"/>
      <c r="F926" s="214"/>
    </row>
    <row r="927" spans="4:6" ht="12.75">
      <c r="D927" s="214"/>
      <c r="E927" s="214"/>
      <c r="F927" s="214"/>
    </row>
    <row r="928" spans="4:6" ht="12.75">
      <c r="D928" s="214"/>
      <c r="E928" s="214"/>
      <c r="F928" s="214"/>
    </row>
    <row r="929" spans="4:6" ht="12.75">
      <c r="D929" s="214"/>
      <c r="E929" s="214"/>
      <c r="F929" s="214"/>
    </row>
    <row r="930" spans="4:6" ht="12.75">
      <c r="D930" s="214"/>
      <c r="E930" s="214"/>
      <c r="F930" s="214"/>
    </row>
    <row r="931" spans="4:6" ht="12.75">
      <c r="D931" s="214"/>
      <c r="E931" s="214"/>
      <c r="F931" s="214"/>
    </row>
    <row r="932" spans="4:6" ht="12.75">
      <c r="D932" s="214"/>
      <c r="E932" s="214"/>
      <c r="F932" s="214"/>
    </row>
    <row r="933" spans="4:6" ht="12.75">
      <c r="D933" s="214"/>
      <c r="E933" s="214"/>
      <c r="F933" s="214"/>
    </row>
    <row r="934" spans="4:6" ht="12.75">
      <c r="D934" s="214"/>
      <c r="E934" s="214"/>
      <c r="F934" s="214"/>
    </row>
    <row r="935" spans="4:6" ht="12.75">
      <c r="D935" s="214"/>
      <c r="E935" s="214"/>
      <c r="F935" s="214"/>
    </row>
    <row r="936" spans="4:6" ht="12.75">
      <c r="D936" s="214"/>
      <c r="E936" s="214"/>
      <c r="F936" s="214"/>
    </row>
    <row r="937" spans="4:6" ht="12.75">
      <c r="D937" s="214"/>
      <c r="E937" s="214"/>
      <c r="F937" s="214"/>
    </row>
    <row r="938" spans="4:6" ht="12.75">
      <c r="D938" s="214"/>
      <c r="E938" s="214"/>
      <c r="F938" s="214"/>
    </row>
    <row r="939" spans="4:6" ht="12.75">
      <c r="D939" s="214"/>
      <c r="E939" s="214"/>
      <c r="F939" s="214"/>
    </row>
    <row r="940" spans="4:6" ht="12.75">
      <c r="D940" s="214"/>
      <c r="E940" s="214"/>
      <c r="F940" s="214"/>
    </row>
    <row r="941" spans="4:6" ht="12.75">
      <c r="D941" s="214"/>
      <c r="E941" s="214"/>
      <c r="F941" s="214"/>
    </row>
    <row r="942" spans="4:6" ht="12.75">
      <c r="D942" s="214"/>
      <c r="E942" s="214"/>
      <c r="F942" s="214"/>
    </row>
    <row r="943" spans="4:6" ht="12.75">
      <c r="D943" s="214"/>
      <c r="E943" s="214"/>
      <c r="F943" s="214"/>
    </row>
    <row r="944" spans="4:6" ht="12.75">
      <c r="D944" s="214"/>
      <c r="E944" s="214"/>
      <c r="F944" s="214"/>
    </row>
    <row r="945" spans="4:6" ht="12.75">
      <c r="D945" s="214"/>
      <c r="E945" s="214"/>
      <c r="F945" s="214"/>
    </row>
    <row r="946" spans="4:6" ht="12.75">
      <c r="D946" s="214"/>
      <c r="E946" s="214"/>
      <c r="F946" s="214"/>
    </row>
    <row r="947" spans="4:6" ht="12.75">
      <c r="D947" s="214"/>
      <c r="E947" s="214"/>
      <c r="F947" s="214"/>
    </row>
    <row r="948" spans="4:6" ht="12.75">
      <c r="D948" s="214"/>
      <c r="E948" s="214"/>
      <c r="F948" s="214"/>
    </row>
    <row r="949" spans="4:6" ht="12.75">
      <c r="D949" s="214"/>
      <c r="E949" s="214"/>
      <c r="F949" s="214"/>
    </row>
    <row r="950" spans="4:6" ht="12.75">
      <c r="D950" s="214"/>
      <c r="E950" s="214"/>
      <c r="F950" s="214"/>
    </row>
    <row r="951" spans="4:6" ht="12.75">
      <c r="D951" s="214"/>
      <c r="E951" s="214"/>
      <c r="F951" s="214"/>
    </row>
    <row r="952" spans="4:6" ht="12.75">
      <c r="D952" s="214"/>
      <c r="E952" s="214"/>
      <c r="F952" s="214"/>
    </row>
    <row r="953" spans="4:6" ht="12.75">
      <c r="D953" s="214"/>
      <c r="E953" s="214"/>
      <c r="F953" s="214"/>
    </row>
    <row r="954" spans="4:6" ht="12.75">
      <c r="D954" s="214"/>
      <c r="E954" s="214"/>
      <c r="F954" s="214"/>
    </row>
    <row r="955" spans="4:6" ht="12.75">
      <c r="D955" s="214"/>
      <c r="E955" s="214"/>
      <c r="F955" s="214"/>
    </row>
    <row r="956" spans="4:6" ht="12.75">
      <c r="D956" s="214"/>
      <c r="E956" s="214"/>
      <c r="F956" s="214"/>
    </row>
    <row r="957" spans="4:6" ht="12.75">
      <c r="D957" s="214"/>
      <c r="E957" s="214"/>
      <c r="F957" s="214"/>
    </row>
    <row r="958" spans="4:6" ht="12.75">
      <c r="D958" s="214"/>
      <c r="E958" s="214"/>
      <c r="F958" s="214"/>
    </row>
    <row r="959" spans="4:6" ht="12.75">
      <c r="D959" s="214"/>
      <c r="E959" s="214"/>
      <c r="F959" s="214"/>
    </row>
    <row r="960" spans="4:6" ht="12.75">
      <c r="D960" s="214"/>
      <c r="E960" s="214"/>
      <c r="F960" s="214"/>
    </row>
    <row r="961" spans="4:6" ht="12.75">
      <c r="D961" s="214"/>
      <c r="E961" s="214"/>
      <c r="F961" s="214"/>
    </row>
    <row r="962" spans="4:6" ht="12.75">
      <c r="D962" s="214"/>
      <c r="E962" s="214"/>
      <c r="F962" s="214"/>
    </row>
    <row r="963" spans="4:6" ht="12.75">
      <c r="D963" s="214"/>
      <c r="E963" s="214"/>
      <c r="F963" s="214"/>
    </row>
    <row r="964" spans="4:6" ht="12.75">
      <c r="D964" s="214"/>
      <c r="E964" s="214"/>
      <c r="F964" s="214"/>
    </row>
    <row r="965" spans="4:6" ht="12.75">
      <c r="D965" s="214"/>
      <c r="E965" s="214"/>
      <c r="F965" s="214"/>
    </row>
    <row r="966" spans="4:6" ht="12.75">
      <c r="D966" s="214"/>
      <c r="E966" s="214"/>
      <c r="F966" s="214"/>
    </row>
    <row r="967" spans="4:6" ht="12.75">
      <c r="D967" s="214"/>
      <c r="E967" s="214"/>
      <c r="F967" s="214"/>
    </row>
    <row r="968" spans="4:6" ht="12.75">
      <c r="D968" s="214"/>
      <c r="E968" s="214"/>
      <c r="F968" s="214"/>
    </row>
    <row r="969" spans="4:6" ht="12.75">
      <c r="D969" s="214"/>
      <c r="E969" s="214"/>
      <c r="F969" s="214"/>
    </row>
    <row r="970" spans="4:6" ht="12.75">
      <c r="D970" s="214"/>
      <c r="E970" s="214"/>
      <c r="F970" s="214"/>
    </row>
    <row r="971" spans="4:6" ht="12.75">
      <c r="D971" s="214"/>
      <c r="E971" s="214"/>
      <c r="F971" s="214"/>
    </row>
    <row r="972" spans="4:6" ht="12.75">
      <c r="D972" s="214"/>
      <c r="E972" s="214"/>
      <c r="F972" s="214"/>
    </row>
    <row r="973" spans="4:6" ht="12.75">
      <c r="D973" s="214"/>
      <c r="E973" s="214"/>
      <c r="F973" s="214"/>
    </row>
    <row r="974" spans="4:6" ht="12.75">
      <c r="D974" s="214"/>
      <c r="E974" s="214"/>
      <c r="F974" s="214"/>
    </row>
    <row r="975" spans="4:6" ht="12.75">
      <c r="D975" s="214"/>
      <c r="E975" s="214"/>
      <c r="F975" s="214"/>
    </row>
    <row r="976" spans="4:6" ht="12.75">
      <c r="D976" s="214"/>
      <c r="E976" s="214"/>
      <c r="F976" s="214"/>
    </row>
    <row r="977" spans="4:6" ht="12.75">
      <c r="D977" s="214"/>
      <c r="E977" s="214"/>
      <c r="F977" s="214"/>
    </row>
    <row r="978" spans="4:6" ht="12.75">
      <c r="D978" s="214"/>
      <c r="E978" s="214"/>
      <c r="F978" s="214"/>
    </row>
    <row r="979" spans="4:6" ht="12.75">
      <c r="D979" s="214"/>
      <c r="E979" s="214"/>
      <c r="F979" s="214"/>
    </row>
    <row r="980" spans="4:6" ht="12.75">
      <c r="D980" s="214"/>
      <c r="E980" s="214"/>
      <c r="F980" s="214"/>
    </row>
    <row r="981" spans="4:6" ht="12.75">
      <c r="D981" s="214"/>
      <c r="E981" s="214"/>
      <c r="F981" s="214"/>
    </row>
    <row r="982" spans="4:6" ht="12.75">
      <c r="D982" s="214"/>
      <c r="E982" s="214"/>
      <c r="F982" s="214"/>
    </row>
    <row r="983" spans="4:6" ht="12.75">
      <c r="D983" s="214"/>
      <c r="E983" s="214"/>
      <c r="F983" s="214"/>
    </row>
    <row r="984" spans="4:6" ht="12.75">
      <c r="D984" s="214"/>
      <c r="E984" s="214"/>
      <c r="F984" s="214"/>
    </row>
    <row r="985" spans="4:6" ht="12.75">
      <c r="D985" s="214"/>
      <c r="E985" s="214"/>
      <c r="F985" s="214"/>
    </row>
    <row r="986" spans="4:6" ht="12.75">
      <c r="D986" s="214"/>
      <c r="E986" s="214"/>
      <c r="F986" s="214"/>
    </row>
    <row r="987" spans="4:6" ht="12.75">
      <c r="D987" s="214"/>
      <c r="E987" s="214"/>
      <c r="F987" s="214"/>
    </row>
    <row r="988" spans="4:6" ht="12.75">
      <c r="D988" s="214"/>
      <c r="E988" s="214"/>
      <c r="F988" s="214"/>
    </row>
    <row r="989" spans="4:6" ht="12.75">
      <c r="D989" s="214"/>
      <c r="E989" s="214"/>
      <c r="F989" s="214"/>
    </row>
    <row r="990" spans="4:6" ht="12.75">
      <c r="D990" s="214"/>
      <c r="E990" s="214"/>
      <c r="F990" s="214"/>
    </row>
    <row r="991" spans="4:6" ht="12.75">
      <c r="D991" s="214"/>
      <c r="E991" s="214"/>
      <c r="F991" s="214"/>
    </row>
    <row r="992" spans="4:6" ht="12.75">
      <c r="D992" s="214"/>
      <c r="E992" s="214"/>
      <c r="F992" s="214"/>
    </row>
    <row r="993" spans="4:6" ht="12.75">
      <c r="D993" s="214"/>
      <c r="E993" s="214"/>
      <c r="F993" s="214"/>
    </row>
    <row r="994" spans="4:6" ht="12.75">
      <c r="D994" s="214"/>
      <c r="E994" s="214"/>
      <c r="F994" s="214"/>
    </row>
    <row r="995" spans="4:6" ht="12.75">
      <c r="D995" s="214"/>
      <c r="E995" s="214"/>
      <c r="F995" s="214"/>
    </row>
    <row r="996" spans="4:6" ht="12.75">
      <c r="D996" s="214"/>
      <c r="E996" s="214"/>
      <c r="F996" s="214"/>
    </row>
    <row r="997" spans="4:6" ht="12.75">
      <c r="D997" s="214"/>
      <c r="E997" s="214"/>
      <c r="F997" s="214"/>
    </row>
    <row r="998" spans="4:6" ht="12.75">
      <c r="D998" s="214"/>
      <c r="E998" s="214"/>
      <c r="F998" s="214"/>
    </row>
    <row r="999" spans="4:6" ht="12.75">
      <c r="D999" s="214"/>
      <c r="E999" s="214"/>
      <c r="F999" s="214"/>
    </row>
    <row r="1000" spans="4:6" ht="12.75">
      <c r="D1000" s="214"/>
      <c r="E1000" s="214"/>
      <c r="F1000" s="214"/>
    </row>
    <row r="1001" spans="4:6" ht="12.75">
      <c r="D1001" s="214"/>
      <c r="E1001" s="214"/>
      <c r="F1001" s="214"/>
    </row>
    <row r="1002" spans="4:6" ht="12.75">
      <c r="D1002" s="214"/>
      <c r="E1002" s="214"/>
      <c r="F1002" s="214"/>
    </row>
    <row r="1003" spans="4:6" ht="12.75">
      <c r="D1003" s="214"/>
      <c r="E1003" s="214"/>
      <c r="F1003" s="214"/>
    </row>
    <row r="1004" spans="4:6" ht="12.75">
      <c r="D1004" s="214"/>
      <c r="E1004" s="214"/>
      <c r="F1004" s="214"/>
    </row>
    <row r="1005" spans="4:6" ht="12.75">
      <c r="D1005" s="214"/>
      <c r="E1005" s="214"/>
      <c r="F1005" s="214"/>
    </row>
    <row r="1006" spans="4:6" ht="12.75">
      <c r="D1006" s="214"/>
      <c r="E1006" s="214"/>
      <c r="F1006" s="214"/>
    </row>
    <row r="1007" spans="4:6" ht="12.75">
      <c r="D1007" s="214"/>
      <c r="E1007" s="214"/>
      <c r="F1007" s="214"/>
    </row>
    <row r="1008" spans="4:6" ht="12.75">
      <c r="D1008" s="214"/>
      <c r="E1008" s="214"/>
      <c r="F1008" s="214"/>
    </row>
    <row r="1009" spans="4:6" ht="12.75">
      <c r="D1009" s="214"/>
      <c r="E1009" s="214"/>
      <c r="F1009" s="214"/>
    </row>
    <row r="1010" spans="4:6" ht="12.75">
      <c r="D1010" s="214"/>
      <c r="E1010" s="214"/>
      <c r="F1010" s="214"/>
    </row>
    <row r="1011" spans="4:6" ht="12.75">
      <c r="D1011" s="214"/>
      <c r="E1011" s="214"/>
      <c r="F1011" s="214"/>
    </row>
    <row r="1012" spans="4:6" ht="12.75">
      <c r="D1012" s="214"/>
      <c r="E1012" s="214"/>
      <c r="F1012" s="214"/>
    </row>
    <row r="1013" spans="4:6" ht="12.75">
      <c r="D1013" s="214"/>
      <c r="E1013" s="214"/>
      <c r="F1013" s="214"/>
    </row>
    <row r="1014" spans="4:6" ht="12.75">
      <c r="D1014" s="214"/>
      <c r="E1014" s="214"/>
      <c r="F1014" s="214"/>
    </row>
    <row r="1015" spans="4:6" ht="12.75">
      <c r="D1015" s="214"/>
      <c r="E1015" s="214"/>
      <c r="F1015" s="214"/>
    </row>
    <row r="1016" spans="4:6" ht="12.75">
      <c r="D1016" s="214"/>
      <c r="E1016" s="214"/>
      <c r="F1016" s="214"/>
    </row>
    <row r="1017" spans="4:6" ht="12.75">
      <c r="D1017" s="214"/>
      <c r="E1017" s="214"/>
      <c r="F1017" s="214"/>
    </row>
    <row r="1018" spans="4:6" ht="12.75">
      <c r="D1018" s="214"/>
      <c r="E1018" s="214"/>
      <c r="F1018" s="214"/>
    </row>
    <row r="1019" spans="4:6" ht="12.75">
      <c r="D1019" s="214"/>
      <c r="E1019" s="214"/>
      <c r="F1019" s="214"/>
    </row>
    <row r="1020" spans="4:6" ht="12.75">
      <c r="D1020" s="214"/>
      <c r="E1020" s="214"/>
      <c r="F1020" s="214"/>
    </row>
    <row r="1021" spans="4:6" ht="12.75">
      <c r="D1021" s="214"/>
      <c r="E1021" s="214"/>
      <c r="F1021" s="214"/>
    </row>
    <row r="1022" spans="4:6" ht="12.75">
      <c r="D1022" s="214"/>
      <c r="E1022" s="214"/>
      <c r="F1022" s="214"/>
    </row>
    <row r="1023" spans="4:6" ht="12.75">
      <c r="D1023" s="214"/>
      <c r="E1023" s="214"/>
      <c r="F1023" s="214"/>
    </row>
    <row r="1024" spans="4:6" ht="12.75">
      <c r="D1024" s="214"/>
      <c r="E1024" s="214"/>
      <c r="F1024" s="214"/>
    </row>
    <row r="1025" spans="4:6" ht="12.75">
      <c r="D1025" s="214"/>
      <c r="E1025" s="214"/>
      <c r="F1025" s="214"/>
    </row>
    <row r="1026" spans="4:6" ht="12.75">
      <c r="D1026" s="214"/>
      <c r="E1026" s="214"/>
      <c r="F1026" s="214"/>
    </row>
    <row r="1027" spans="4:6" ht="12.75">
      <c r="D1027" s="214"/>
      <c r="E1027" s="214"/>
      <c r="F1027" s="214"/>
    </row>
    <row r="1028" spans="4:6" ht="12.75">
      <c r="D1028" s="214"/>
      <c r="E1028" s="214"/>
      <c r="F1028" s="214"/>
    </row>
    <row r="1029" spans="4:6" ht="12.75">
      <c r="D1029" s="214"/>
      <c r="E1029" s="214"/>
      <c r="F1029" s="214"/>
    </row>
    <row r="1030" spans="4:6" ht="12.75">
      <c r="D1030" s="214"/>
      <c r="E1030" s="214"/>
      <c r="F1030" s="214"/>
    </row>
    <row r="1031" spans="4:6" ht="12.75">
      <c r="D1031" s="214"/>
      <c r="E1031" s="214"/>
      <c r="F1031" s="214"/>
    </row>
    <row r="1032" spans="4:6" ht="12.75">
      <c r="D1032" s="214"/>
      <c r="E1032" s="214"/>
      <c r="F1032" s="214"/>
    </row>
    <row r="1033" spans="4:6" ht="12.75">
      <c r="D1033" s="214"/>
      <c r="E1033" s="214"/>
      <c r="F1033" s="214"/>
    </row>
    <row r="1034" spans="4:6" ht="12.75">
      <c r="D1034" s="214"/>
      <c r="E1034" s="214"/>
      <c r="F1034" s="214"/>
    </row>
    <row r="1035" spans="4:6" ht="12.75">
      <c r="D1035" s="214"/>
      <c r="E1035" s="214"/>
      <c r="F1035" s="214"/>
    </row>
    <row r="1036" spans="4:6" ht="12.75">
      <c r="D1036" s="214"/>
      <c r="E1036" s="214"/>
      <c r="F1036" s="214"/>
    </row>
    <row r="1037" spans="4:6" ht="12.75">
      <c r="D1037" s="214"/>
      <c r="E1037" s="214"/>
      <c r="F1037" s="214"/>
    </row>
    <row r="1038" spans="4:6" ht="12.75">
      <c r="D1038" s="214"/>
      <c r="E1038" s="214"/>
      <c r="F1038" s="214"/>
    </row>
    <row r="1039" spans="4:6" ht="12.75">
      <c r="D1039" s="214"/>
      <c r="E1039" s="214"/>
      <c r="F1039" s="214"/>
    </row>
    <row r="1040" spans="4:6" ht="12.75">
      <c r="D1040" s="214"/>
      <c r="E1040" s="214"/>
      <c r="F1040" s="214"/>
    </row>
    <row r="1041" spans="4:6" ht="12.75">
      <c r="D1041" s="214"/>
      <c r="E1041" s="214"/>
      <c r="F1041" s="214"/>
    </row>
    <row r="1042" spans="4:6" ht="12.75">
      <c r="D1042" s="214"/>
      <c r="E1042" s="214"/>
      <c r="F1042" s="214"/>
    </row>
    <row r="1043" spans="4:6" ht="12.75">
      <c r="D1043" s="214"/>
      <c r="E1043" s="214"/>
      <c r="F1043" s="214"/>
    </row>
    <row r="1044" spans="4:6" ht="12.75">
      <c r="D1044" s="214"/>
      <c r="E1044" s="214"/>
      <c r="F1044" s="214"/>
    </row>
    <row r="1045" spans="4:6" ht="12.75">
      <c r="D1045" s="214"/>
      <c r="E1045" s="214"/>
      <c r="F1045" s="214"/>
    </row>
    <row r="1046" spans="4:6" ht="12.75">
      <c r="D1046" s="214"/>
      <c r="E1046" s="214"/>
      <c r="F1046" s="214"/>
    </row>
    <row r="1047" spans="4:6" ht="12.75">
      <c r="D1047" s="214"/>
      <c r="E1047" s="214"/>
      <c r="F1047" s="214"/>
    </row>
    <row r="1048" spans="4:6" ht="12.75">
      <c r="D1048" s="214"/>
      <c r="E1048" s="214"/>
      <c r="F1048" s="214"/>
    </row>
    <row r="1049" spans="4:6" ht="12.75">
      <c r="D1049" s="214"/>
      <c r="E1049" s="214"/>
      <c r="F1049" s="214"/>
    </row>
    <row r="1050" spans="4:6" ht="12.75">
      <c r="D1050" s="214"/>
      <c r="E1050" s="214"/>
      <c r="F1050" s="214"/>
    </row>
    <row r="1051" spans="4:6" ht="12.75">
      <c r="D1051" s="214"/>
      <c r="E1051" s="214"/>
      <c r="F1051" s="214"/>
    </row>
    <row r="1052" spans="4:6" ht="12.75">
      <c r="D1052" s="214"/>
      <c r="E1052" s="214"/>
      <c r="F1052" s="214"/>
    </row>
    <row r="1053" spans="4:6" ht="12.75">
      <c r="D1053" s="214"/>
      <c r="E1053" s="214"/>
      <c r="F1053" s="214"/>
    </row>
    <row r="1054" spans="4:6" ht="12.75">
      <c r="D1054" s="214"/>
      <c r="E1054" s="214"/>
      <c r="F1054" s="214"/>
    </row>
    <row r="1055" spans="4:6" ht="12.75">
      <c r="D1055" s="214"/>
      <c r="E1055" s="214"/>
      <c r="F1055" s="214"/>
    </row>
    <row r="1056" spans="4:6" ht="12.75">
      <c r="D1056" s="214"/>
      <c r="E1056" s="214"/>
      <c r="F1056" s="214"/>
    </row>
    <row r="1057" spans="4:6" ht="12.75">
      <c r="D1057" s="214"/>
      <c r="E1057" s="214"/>
      <c r="F1057" s="214"/>
    </row>
    <row r="1058" spans="4:6" ht="12.75">
      <c r="D1058" s="214"/>
      <c r="E1058" s="214"/>
      <c r="F1058" s="214"/>
    </row>
    <row r="1059" spans="4:6" ht="12.75">
      <c r="D1059" s="214"/>
      <c r="E1059" s="214"/>
      <c r="F1059" s="214"/>
    </row>
    <row r="1060" spans="4:6" ht="12.75">
      <c r="D1060" s="214"/>
      <c r="E1060" s="214"/>
      <c r="F1060" s="214"/>
    </row>
    <row r="1061" spans="4:6" ht="12.75">
      <c r="D1061" s="214"/>
      <c r="E1061" s="214"/>
      <c r="F1061" s="214"/>
    </row>
    <row r="1062" spans="4:6" ht="12.75">
      <c r="D1062" s="214"/>
      <c r="E1062" s="214"/>
      <c r="F1062" s="214"/>
    </row>
    <row r="1063" spans="4:6" ht="12.75">
      <c r="D1063" s="214"/>
      <c r="E1063" s="214"/>
      <c r="F1063" s="214"/>
    </row>
    <row r="1064" spans="4:6" ht="12.75">
      <c r="D1064" s="214"/>
      <c r="E1064" s="214"/>
      <c r="F1064" s="214"/>
    </row>
    <row r="1065" spans="4:6" ht="12.75">
      <c r="D1065" s="214"/>
      <c r="E1065" s="214"/>
      <c r="F1065" s="214"/>
    </row>
    <row r="1066" spans="4:6" ht="12.75">
      <c r="D1066" s="214"/>
      <c r="E1066" s="214"/>
      <c r="F1066" s="214"/>
    </row>
    <row r="1067" spans="4:6" ht="12.75">
      <c r="D1067" s="214"/>
      <c r="E1067" s="214"/>
      <c r="F1067" s="214"/>
    </row>
    <row r="1068" spans="4:6" ht="12.75">
      <c r="D1068" s="214"/>
      <c r="E1068" s="214"/>
      <c r="F1068" s="214"/>
    </row>
    <row r="1069" spans="4:6" ht="12.75">
      <c r="D1069" s="214"/>
      <c r="E1069" s="214"/>
      <c r="F1069" s="214"/>
    </row>
    <row r="1070" spans="4:6" ht="12.75">
      <c r="D1070" s="214"/>
      <c r="E1070" s="214"/>
      <c r="F1070" s="214"/>
    </row>
    <row r="1071" spans="4:6" ht="12.75">
      <c r="D1071" s="214"/>
      <c r="E1071" s="214"/>
      <c r="F1071" s="214"/>
    </row>
    <row r="1072" spans="4:6" ht="12.75">
      <c r="D1072" s="214"/>
      <c r="E1072" s="214"/>
      <c r="F1072" s="214"/>
    </row>
    <row r="1073" spans="4:6" ht="12.75">
      <c r="D1073" s="214"/>
      <c r="E1073" s="214"/>
      <c r="F1073" s="214"/>
    </row>
    <row r="1074" spans="4:6" ht="12.75">
      <c r="D1074" s="214"/>
      <c r="E1074" s="214"/>
      <c r="F1074" s="214"/>
    </row>
    <row r="1075" spans="4:6" ht="12.75">
      <c r="D1075" s="214"/>
      <c r="E1075" s="214"/>
      <c r="F1075" s="214"/>
    </row>
    <row r="1076" spans="4:6" ht="12.75">
      <c r="D1076" s="214"/>
      <c r="E1076" s="214"/>
      <c r="F1076" s="214"/>
    </row>
    <row r="1077" spans="4:6" ht="12.75">
      <c r="D1077" s="214"/>
      <c r="E1077" s="214"/>
      <c r="F1077" s="214"/>
    </row>
    <row r="1078" spans="4:6" ht="12.75">
      <c r="D1078" s="214"/>
      <c r="E1078" s="214"/>
      <c r="F1078" s="214"/>
    </row>
    <row r="1079" spans="4:6" ht="12.75">
      <c r="D1079" s="214"/>
      <c r="E1079" s="214"/>
      <c r="F1079" s="214"/>
    </row>
    <row r="1080" spans="4:6" ht="12.75">
      <c r="D1080" s="214"/>
      <c r="E1080" s="214"/>
      <c r="F1080" s="214"/>
    </row>
    <row r="1081" spans="4:6" ht="12.75">
      <c r="D1081" s="214"/>
      <c r="E1081" s="214"/>
      <c r="F1081" s="214"/>
    </row>
    <row r="1082" spans="4:6" ht="12.75">
      <c r="D1082" s="214"/>
      <c r="E1082" s="214"/>
      <c r="F1082" s="214"/>
    </row>
    <row r="1083" spans="4:6" ht="12.75">
      <c r="D1083" s="214"/>
      <c r="E1083" s="214"/>
      <c r="F1083" s="214"/>
    </row>
    <row r="1084" spans="4:6" ht="12.75">
      <c r="D1084" s="214"/>
      <c r="E1084" s="214"/>
      <c r="F1084" s="214"/>
    </row>
    <row r="1085" spans="4:6" ht="12.75">
      <c r="D1085" s="214"/>
      <c r="E1085" s="214"/>
      <c r="F1085" s="214"/>
    </row>
    <row r="1086" spans="4:6" ht="12.75">
      <c r="D1086" s="214"/>
      <c r="E1086" s="214"/>
      <c r="F1086" s="214"/>
    </row>
    <row r="1087" spans="4:6" ht="12.75">
      <c r="D1087" s="214"/>
      <c r="E1087" s="214"/>
      <c r="F1087" s="214"/>
    </row>
    <row r="1088" spans="4:6" ht="12.75">
      <c r="D1088" s="214"/>
      <c r="E1088" s="214"/>
      <c r="F1088" s="214"/>
    </row>
    <row r="1089" spans="4:6" ht="12.75">
      <c r="D1089" s="214"/>
      <c r="E1089" s="214"/>
      <c r="F1089" s="214"/>
    </row>
    <row r="1090" spans="4:6" ht="12.75">
      <c r="D1090" s="214"/>
      <c r="E1090" s="214"/>
      <c r="F1090" s="214"/>
    </row>
    <row r="1091" spans="4:6" ht="12.75">
      <c r="D1091" s="214"/>
      <c r="E1091" s="214"/>
      <c r="F1091" s="214"/>
    </row>
    <row r="1092" spans="4:6" ht="12.75">
      <c r="D1092" s="214"/>
      <c r="E1092" s="214"/>
      <c r="F1092" s="214"/>
    </row>
    <row r="1093" spans="4:6" ht="12.75">
      <c r="D1093" s="214"/>
      <c r="E1093" s="214"/>
      <c r="F1093" s="214"/>
    </row>
    <row r="1094" spans="4:6" ht="12.75">
      <c r="D1094" s="214"/>
      <c r="E1094" s="214"/>
      <c r="F1094" s="214"/>
    </row>
    <row r="1095" spans="4:6" ht="12.75">
      <c r="D1095" s="214"/>
      <c r="E1095" s="214"/>
      <c r="F1095" s="214"/>
    </row>
    <row r="1096" spans="4:6" ht="12.75">
      <c r="D1096" s="214"/>
      <c r="E1096" s="214"/>
      <c r="F1096" s="214"/>
    </row>
    <row r="1097" spans="4:6" ht="12.75">
      <c r="D1097" s="214"/>
      <c r="E1097" s="214"/>
      <c r="F1097" s="214"/>
    </row>
    <row r="1098" spans="4:6" ht="12.75">
      <c r="D1098" s="214"/>
      <c r="E1098" s="214"/>
      <c r="F1098" s="214"/>
    </row>
    <row r="1099" spans="4:6" ht="12.75">
      <c r="D1099" s="214"/>
      <c r="E1099" s="214"/>
      <c r="F1099" s="214"/>
    </row>
    <row r="1100" spans="4:6" ht="12.75">
      <c r="D1100" s="214"/>
      <c r="E1100" s="214"/>
      <c r="F1100" s="214"/>
    </row>
    <row r="1101" spans="4:6" ht="12.75">
      <c r="D1101" s="214"/>
      <c r="E1101" s="214"/>
      <c r="F1101" s="214"/>
    </row>
    <row r="1102" spans="4:6" ht="12.75">
      <c r="D1102" s="214"/>
      <c r="E1102" s="214"/>
      <c r="F1102" s="214"/>
    </row>
    <row r="1103" spans="4:6" ht="12.75">
      <c r="D1103" s="214"/>
      <c r="E1103" s="214"/>
      <c r="F1103" s="214"/>
    </row>
    <row r="1104" spans="4:6" ht="12.75">
      <c r="D1104" s="214"/>
      <c r="E1104" s="214"/>
      <c r="F1104" s="214"/>
    </row>
    <row r="1105" spans="4:6" ht="12.75">
      <c r="D1105" s="214"/>
      <c r="E1105" s="214"/>
      <c r="F1105" s="214"/>
    </row>
    <row r="1106" spans="4:6" ht="12.75">
      <c r="D1106" s="214"/>
      <c r="E1106" s="214"/>
      <c r="F1106" s="214"/>
    </row>
    <row r="1107" spans="4:6" ht="12.75">
      <c r="D1107" s="214"/>
      <c r="E1107" s="214"/>
      <c r="F1107" s="214"/>
    </row>
    <row r="1108" spans="4:6" ht="12.75">
      <c r="D1108" s="214"/>
      <c r="E1108" s="214"/>
      <c r="F1108" s="214"/>
    </row>
    <row r="1109" spans="4:6" ht="12.75">
      <c r="D1109" s="214"/>
      <c r="E1109" s="214"/>
      <c r="F1109" s="214"/>
    </row>
    <row r="1110" spans="4:6" ht="12.75">
      <c r="D1110" s="214"/>
      <c r="E1110" s="214"/>
      <c r="F1110" s="214"/>
    </row>
    <row r="1111" spans="4:6" ht="12.75">
      <c r="D1111" s="214"/>
      <c r="E1111" s="214"/>
      <c r="F1111" s="214"/>
    </row>
    <row r="1112" spans="4:6" ht="12.75">
      <c r="D1112" s="214"/>
      <c r="E1112" s="214"/>
      <c r="F1112" s="214"/>
    </row>
    <row r="1113" spans="4:6" ht="12.75">
      <c r="D1113" s="214"/>
      <c r="E1113" s="214"/>
      <c r="F1113" s="214"/>
    </row>
    <row r="1114" spans="4:6" ht="12.75">
      <c r="D1114" s="214"/>
      <c r="E1114" s="214"/>
      <c r="F1114" s="214"/>
    </row>
    <row r="1115" spans="4:6" ht="12.75">
      <c r="D1115" s="214"/>
      <c r="E1115" s="214"/>
      <c r="F1115" s="214"/>
    </row>
    <row r="1116" spans="4:6" ht="12.75">
      <c r="D1116" s="214"/>
      <c r="E1116" s="214"/>
      <c r="F1116" s="214"/>
    </row>
    <row r="1117" spans="4:6" ht="12.75">
      <c r="D1117" s="214"/>
      <c r="E1117" s="214"/>
      <c r="F1117" s="214"/>
    </row>
    <row r="1118" spans="4:6" ht="12.75">
      <c r="D1118" s="214"/>
      <c r="E1118" s="214"/>
      <c r="F1118" s="214"/>
    </row>
    <row r="1119" spans="4:6" ht="12.75">
      <c r="D1119" s="214"/>
      <c r="E1119" s="214"/>
      <c r="F1119" s="214"/>
    </row>
    <row r="1120" spans="4:6" ht="12.75">
      <c r="D1120" s="214"/>
      <c r="E1120" s="214"/>
      <c r="F1120" s="214"/>
    </row>
    <row r="1121" spans="4:6" ht="12.75">
      <c r="D1121" s="214"/>
      <c r="E1121" s="214"/>
      <c r="F1121" s="214"/>
    </row>
    <row r="1122" spans="4:6" ht="12.75">
      <c r="D1122" s="214"/>
      <c r="E1122" s="214"/>
      <c r="F1122" s="214"/>
    </row>
    <row r="1123" spans="4:6" ht="12.75">
      <c r="D1123" s="214"/>
      <c r="E1123" s="214"/>
      <c r="F1123" s="214"/>
    </row>
    <row r="1124" spans="4:6" ht="12.75">
      <c r="D1124" s="214"/>
      <c r="E1124" s="214"/>
      <c r="F1124" s="214"/>
    </row>
    <row r="1125" spans="4:6" ht="12.75">
      <c r="D1125" s="214"/>
      <c r="E1125" s="214"/>
      <c r="F1125" s="214"/>
    </row>
    <row r="1126" spans="4:6" ht="12.75">
      <c r="D1126" s="214"/>
      <c r="E1126" s="214"/>
      <c r="F1126" s="214"/>
    </row>
    <row r="1127" spans="4:6" ht="12.75">
      <c r="D1127" s="214"/>
      <c r="E1127" s="214"/>
      <c r="F1127" s="214"/>
    </row>
    <row r="1128" spans="4:6" ht="12.75">
      <c r="D1128" s="214"/>
      <c r="E1128" s="214"/>
      <c r="F1128" s="214"/>
    </row>
    <row r="1129" spans="4:6" ht="12.75">
      <c r="D1129" s="214"/>
      <c r="E1129" s="214"/>
      <c r="F1129" s="214"/>
    </row>
    <row r="1130" spans="4:6" ht="12.75">
      <c r="D1130" s="214"/>
      <c r="E1130" s="214"/>
      <c r="F1130" s="214"/>
    </row>
    <row r="1131" spans="4:6" ht="12.75">
      <c r="D1131" s="214"/>
      <c r="E1131" s="214"/>
      <c r="F1131" s="214"/>
    </row>
    <row r="1132" spans="4:6" ht="12.75">
      <c r="D1132" s="214"/>
      <c r="E1132" s="214"/>
      <c r="F1132" s="214"/>
    </row>
    <row r="1133" spans="4:6" ht="12.75">
      <c r="D1133" s="214"/>
      <c r="E1133" s="214"/>
      <c r="F1133" s="214"/>
    </row>
    <row r="1134" spans="4:6" ht="12.75">
      <c r="D1134" s="214"/>
      <c r="E1134" s="214"/>
      <c r="F1134" s="214"/>
    </row>
    <row r="1135" spans="4:6" ht="12.75">
      <c r="D1135" s="214"/>
      <c r="E1135" s="214"/>
      <c r="F1135" s="214"/>
    </row>
    <row r="1136" spans="4:6" ht="12.75">
      <c r="D1136" s="214"/>
      <c r="E1136" s="214"/>
      <c r="F1136" s="214"/>
    </row>
    <row r="1137" spans="4:6" ht="12.75">
      <c r="D1137" s="214"/>
      <c r="E1137" s="214"/>
      <c r="F1137" s="214"/>
    </row>
    <row r="1138" spans="4:6" ht="12.75">
      <c r="D1138" s="214"/>
      <c r="E1138" s="214"/>
      <c r="F1138" s="214"/>
    </row>
    <row r="1139" spans="4:6" ht="12.75">
      <c r="D1139" s="214"/>
      <c r="E1139" s="214"/>
      <c r="F1139" s="214"/>
    </row>
    <row r="1140" spans="4:6" ht="12.75">
      <c r="D1140" s="214"/>
      <c r="E1140" s="214"/>
      <c r="F1140" s="214"/>
    </row>
    <row r="1141" spans="4:6" ht="12.75">
      <c r="D1141" s="214"/>
      <c r="E1141" s="214"/>
      <c r="F1141" s="214"/>
    </row>
    <row r="1142" spans="4:6" ht="12.75">
      <c r="D1142" s="214"/>
      <c r="E1142" s="214"/>
      <c r="F1142" s="214"/>
    </row>
    <row r="1143" spans="4:6" ht="12.75">
      <c r="D1143" s="214"/>
      <c r="E1143" s="214"/>
      <c r="F1143" s="214"/>
    </row>
    <row r="1144" spans="4:6" ht="12.75">
      <c r="D1144" s="214"/>
      <c r="E1144" s="214"/>
      <c r="F1144" s="214"/>
    </row>
    <row r="1145" spans="4:6" ht="12.75">
      <c r="D1145" s="214"/>
      <c r="E1145" s="214"/>
      <c r="F1145" s="214"/>
    </row>
    <row r="1146" spans="4:6" ht="12.75">
      <c r="D1146" s="214"/>
      <c r="E1146" s="214"/>
      <c r="F1146" s="214"/>
    </row>
    <row r="1147" spans="4:6" ht="12.75">
      <c r="D1147" s="214"/>
      <c r="E1147" s="214"/>
      <c r="F1147" s="214"/>
    </row>
    <row r="1148" spans="4:6" ht="12.75">
      <c r="D1148" s="214"/>
      <c r="E1148" s="214"/>
      <c r="F1148" s="214"/>
    </row>
    <row r="1149" spans="4:6" ht="12.75">
      <c r="D1149" s="214"/>
      <c r="E1149" s="214"/>
      <c r="F1149" s="214"/>
    </row>
    <row r="1150" spans="4:6" ht="12.75">
      <c r="D1150" s="214"/>
      <c r="E1150" s="214"/>
      <c r="F1150" s="214"/>
    </row>
    <row r="1151" spans="4:6" ht="12.75">
      <c r="D1151" s="214"/>
      <c r="E1151" s="214"/>
      <c r="F1151" s="214"/>
    </row>
    <row r="1152" spans="4:6" ht="12.75">
      <c r="D1152" s="214"/>
      <c r="E1152" s="214"/>
      <c r="F1152" s="214"/>
    </row>
    <row r="1153" spans="4:6" ht="12.75">
      <c r="D1153" s="214"/>
      <c r="E1153" s="214"/>
      <c r="F1153" s="214"/>
    </row>
    <row r="1154" spans="4:6" ht="12.75">
      <c r="D1154" s="214"/>
      <c r="E1154" s="214"/>
      <c r="F1154" s="214"/>
    </row>
    <row r="1155" spans="4:6" ht="12.75">
      <c r="D1155" s="214"/>
      <c r="E1155" s="214"/>
      <c r="F1155" s="214"/>
    </row>
    <row r="1156" spans="4:6" ht="12.75">
      <c r="D1156" s="214"/>
      <c r="E1156" s="214"/>
      <c r="F1156" s="214"/>
    </row>
    <row r="1157" spans="4:6" ht="12.75">
      <c r="D1157" s="214"/>
      <c r="E1157" s="214"/>
      <c r="F1157" s="214"/>
    </row>
    <row r="1158" spans="4:6" ht="12.75">
      <c r="D1158" s="214"/>
      <c r="E1158" s="214"/>
      <c r="F1158" s="214"/>
    </row>
    <row r="1159" spans="4:6" ht="12.75">
      <c r="D1159" s="214"/>
      <c r="E1159" s="214"/>
      <c r="F1159" s="214"/>
    </row>
    <row r="1160" spans="4:6" ht="12.75">
      <c r="D1160" s="214"/>
      <c r="E1160" s="214"/>
      <c r="F1160" s="214"/>
    </row>
    <row r="1161" spans="4:6" ht="12.75">
      <c r="D1161" s="214"/>
      <c r="E1161" s="214"/>
      <c r="F1161" s="214"/>
    </row>
    <row r="1162" spans="4:6" ht="12.75">
      <c r="D1162" s="214"/>
      <c r="E1162" s="214"/>
      <c r="F1162" s="214"/>
    </row>
    <row r="1163" spans="4:6" ht="12.75">
      <c r="D1163" s="214"/>
      <c r="E1163" s="214"/>
      <c r="F1163" s="214"/>
    </row>
    <row r="1164" spans="4:6" ht="12.75">
      <c r="D1164" s="214"/>
      <c r="E1164" s="214"/>
      <c r="F1164" s="214"/>
    </row>
    <row r="1165" spans="4:6" ht="12.75">
      <c r="D1165" s="214"/>
      <c r="E1165" s="214"/>
      <c r="F1165" s="214"/>
    </row>
    <row r="1166" spans="4:6" ht="12.75">
      <c r="D1166" s="214"/>
      <c r="E1166" s="214"/>
      <c r="F1166" s="214"/>
    </row>
    <row r="1167" spans="4:6" ht="12.75">
      <c r="D1167" s="214"/>
      <c r="E1167" s="214"/>
      <c r="F1167" s="214"/>
    </row>
    <row r="1168" spans="4:6" ht="12.75">
      <c r="D1168" s="214"/>
      <c r="E1168" s="214"/>
      <c r="F1168" s="214"/>
    </row>
    <row r="1169" spans="4:6" ht="12.75">
      <c r="D1169" s="214"/>
      <c r="E1169" s="214"/>
      <c r="F1169" s="214"/>
    </row>
    <row r="1170" spans="4:6" ht="12.75">
      <c r="D1170" s="214"/>
      <c r="E1170" s="214"/>
      <c r="F1170" s="214"/>
    </row>
    <row r="1171" spans="4:6" ht="12.75">
      <c r="D1171" s="214"/>
      <c r="E1171" s="214"/>
      <c r="F1171" s="214"/>
    </row>
    <row r="1172" spans="4:6" ht="12.75">
      <c r="D1172" s="214"/>
      <c r="E1172" s="214"/>
      <c r="F1172" s="214"/>
    </row>
    <row r="1173" spans="4:6" ht="12.75">
      <c r="D1173" s="214"/>
      <c r="E1173" s="214"/>
      <c r="F1173" s="214"/>
    </row>
    <row r="1174" spans="4:6" ht="12.75">
      <c r="D1174" s="214"/>
      <c r="E1174" s="214"/>
      <c r="F1174" s="214"/>
    </row>
    <row r="1175" spans="4:6" ht="12.75">
      <c r="D1175" s="214"/>
      <c r="E1175" s="214"/>
      <c r="F1175" s="214"/>
    </row>
    <row r="1176" spans="4:6" ht="12.75">
      <c r="D1176" s="214"/>
      <c r="E1176" s="214"/>
      <c r="F1176" s="214"/>
    </row>
    <row r="1177" spans="4:6" ht="12.75">
      <c r="D1177" s="214"/>
      <c r="E1177" s="214"/>
      <c r="F1177" s="214"/>
    </row>
    <row r="1178" spans="4:6" ht="12.75">
      <c r="D1178" s="214"/>
      <c r="E1178" s="214"/>
      <c r="F1178" s="214"/>
    </row>
    <row r="1179" spans="4:6" ht="12.75">
      <c r="D1179" s="214"/>
      <c r="E1179" s="214"/>
      <c r="F1179" s="214"/>
    </row>
    <row r="1180" spans="4:6" ht="12.75">
      <c r="D1180" s="214"/>
      <c r="E1180" s="214"/>
      <c r="F1180" s="214"/>
    </row>
    <row r="1181" spans="4:6" ht="12.75">
      <c r="D1181" s="214"/>
      <c r="E1181" s="214"/>
      <c r="F1181" s="214"/>
    </row>
    <row r="1182" spans="4:6" ht="12.75">
      <c r="D1182" s="214"/>
      <c r="E1182" s="214"/>
      <c r="F1182" s="214"/>
    </row>
    <row r="1183" spans="4:6" ht="12.75">
      <c r="D1183" s="214"/>
      <c r="E1183" s="214"/>
      <c r="F1183" s="214"/>
    </row>
    <row r="1184" spans="4:6" ht="12.75">
      <c r="D1184" s="214"/>
      <c r="E1184" s="214"/>
      <c r="F1184" s="214"/>
    </row>
    <row r="1185" spans="4:6" ht="12.75">
      <c r="D1185" s="214"/>
      <c r="E1185" s="214"/>
      <c r="F1185" s="214"/>
    </row>
    <row r="1186" spans="4:6" ht="12.75">
      <c r="D1186" s="214"/>
      <c r="E1186" s="214"/>
      <c r="F1186" s="214"/>
    </row>
    <row r="1187" spans="4:6" ht="12.75">
      <c r="D1187" s="214"/>
      <c r="E1187" s="214"/>
      <c r="F1187" s="214"/>
    </row>
    <row r="1188" spans="4:6" ht="12.75">
      <c r="D1188" s="214"/>
      <c r="E1188" s="214"/>
      <c r="F1188" s="214"/>
    </row>
    <row r="1189" spans="4:6" ht="12.75">
      <c r="D1189" s="214"/>
      <c r="E1189" s="214"/>
      <c r="F1189" s="214"/>
    </row>
    <row r="1190" spans="4:6" ht="12.75">
      <c r="D1190" s="214"/>
      <c r="E1190" s="214"/>
      <c r="F1190" s="214"/>
    </row>
    <row r="1191" spans="4:6" ht="12.75">
      <c r="D1191" s="214"/>
      <c r="E1191" s="214"/>
      <c r="F1191" s="214"/>
    </row>
    <row r="1192" spans="4:6" ht="12.75">
      <c r="D1192" s="214"/>
      <c r="E1192" s="214"/>
      <c r="F1192" s="214"/>
    </row>
    <row r="1193" spans="4:6" ht="12.75">
      <c r="D1193" s="214"/>
      <c r="E1193" s="214"/>
      <c r="F1193" s="214"/>
    </row>
    <row r="1194" spans="4:6" ht="12.75">
      <c r="D1194" s="214"/>
      <c r="E1194" s="214"/>
      <c r="F1194" s="214"/>
    </row>
    <row r="1195" spans="4:6" ht="12.75">
      <c r="D1195" s="214"/>
      <c r="E1195" s="214"/>
      <c r="F1195" s="214"/>
    </row>
  </sheetData>
  <mergeCells count="1">
    <mergeCell ref="A2:C2"/>
  </mergeCells>
  <printOptions horizontalCentered="1" verticalCentered="1"/>
  <pageMargins left="0.2362204724409449" right="0.2362204724409449" top="0.31" bottom="0.36" header="0.16" footer="0.17"/>
  <pageSetup firstPageNumber="64" useFirstPageNumber="1" horizontalDpi="300" verticalDpi="300" orientation="portrait" paperSize="9" scale="70" r:id="rId1"/>
  <headerFooter alignWithMargins="0">
    <oddHeader>&amp;CTabella N.I.13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96"/>
  <sheetViews>
    <sheetView showGridLines="0" workbookViewId="0" topLeftCell="A70">
      <selection activeCell="A1" sqref="A1:C92"/>
    </sheetView>
  </sheetViews>
  <sheetFormatPr defaultColWidth="9.140625" defaultRowHeight="12.75"/>
  <cols>
    <col min="1" max="1" width="67.00390625" style="1" customWidth="1"/>
    <col min="2" max="2" width="16.28125" style="70" customWidth="1"/>
    <col min="3" max="3" width="16.28125" style="354" customWidth="1"/>
    <col min="4" max="4" width="18.421875" style="300" customWidth="1"/>
    <col min="5" max="5" width="14.7109375" style="1" customWidth="1"/>
    <col min="6" max="6" width="19.8515625" style="1" customWidth="1"/>
    <col min="7" max="10" width="9.140625" style="1" customWidth="1"/>
    <col min="11" max="11" width="9.421875" style="1" customWidth="1"/>
    <col min="12" max="12" width="9.140625" style="1" customWidth="1"/>
    <col min="13" max="13" width="11.28125" style="1" customWidth="1"/>
    <col min="14" max="16384" width="9.140625" style="1" customWidth="1"/>
  </cols>
  <sheetData>
    <row r="1" spans="1:2" ht="12.75">
      <c r="A1" s="26" t="s">
        <v>412</v>
      </c>
      <c r="B1" s="102"/>
    </row>
    <row r="2" ht="13.5" thickBot="1"/>
    <row r="3" spans="1:3" ht="18.75" customHeight="1" thickBot="1">
      <c r="A3" s="27" t="s">
        <v>413</v>
      </c>
      <c r="B3" s="103"/>
      <c r="C3" s="643"/>
    </row>
    <row r="4" spans="1:3" ht="12.75">
      <c r="A4" s="56"/>
      <c r="B4" s="104"/>
      <c r="C4" s="725"/>
    </row>
    <row r="5" spans="1:3" ht="25.5">
      <c r="A5" s="57" t="s">
        <v>229</v>
      </c>
      <c r="B5" s="105" t="s">
        <v>368</v>
      </c>
      <c r="C5" s="726" t="s">
        <v>24</v>
      </c>
    </row>
    <row r="6" spans="1:3" ht="12.75">
      <c r="A6" s="100"/>
      <c r="B6" s="106"/>
      <c r="C6" s="631"/>
    </row>
    <row r="7" spans="1:3" ht="12.75">
      <c r="A7" s="101" t="s">
        <v>414</v>
      </c>
      <c r="B7" s="107"/>
      <c r="C7" s="631"/>
    </row>
    <row r="8" spans="1:3" ht="12.75">
      <c r="A8" s="101" t="s">
        <v>415</v>
      </c>
      <c r="B8" s="338"/>
      <c r="C8" s="631">
        <v>3264</v>
      </c>
    </row>
    <row r="9" spans="1:3" ht="12.75">
      <c r="A9" s="101" t="s">
        <v>416</v>
      </c>
      <c r="B9" s="338">
        <v>14829</v>
      </c>
      <c r="C9" s="631">
        <v>20510</v>
      </c>
    </row>
    <row r="10" spans="1:3" ht="12.75">
      <c r="A10" s="101" t="s">
        <v>615</v>
      </c>
      <c r="B10" s="338">
        <v>1751</v>
      </c>
      <c r="C10" s="631">
        <v>1628</v>
      </c>
    </row>
    <row r="11" spans="1:3" ht="12.75">
      <c r="A11" s="101" t="s">
        <v>649</v>
      </c>
      <c r="B11" s="338">
        <v>0</v>
      </c>
      <c r="C11" s="631"/>
    </row>
    <row r="12" spans="1:3" ht="12.75">
      <c r="A12" s="101"/>
      <c r="B12" s="338"/>
      <c r="C12" s="631"/>
    </row>
    <row r="13" spans="1:3" ht="12.75">
      <c r="A13" s="101" t="s">
        <v>396</v>
      </c>
      <c r="B13" s="338">
        <v>539</v>
      </c>
      <c r="C13" s="631">
        <v>362</v>
      </c>
    </row>
    <row r="14" spans="1:3" ht="12.75">
      <c r="A14" s="101" t="s">
        <v>650</v>
      </c>
      <c r="B14" s="338"/>
      <c r="C14" s="631"/>
    </row>
    <row r="15" spans="1:4" ht="12.75">
      <c r="A15" s="101" t="s">
        <v>629</v>
      </c>
      <c r="B15" s="338">
        <v>1827590</v>
      </c>
      <c r="C15" s="631">
        <v>1514843</v>
      </c>
      <c r="D15" s="723"/>
    </row>
    <row r="16" spans="1:4" ht="12.75">
      <c r="A16" s="101" t="s">
        <v>33</v>
      </c>
      <c r="B16" s="338"/>
      <c r="C16" s="631">
        <v>1214701</v>
      </c>
      <c r="D16" s="723"/>
    </row>
    <row r="17" spans="1:4" ht="12.75">
      <c r="A17" s="101" t="s">
        <v>397</v>
      </c>
      <c r="B17" s="631">
        <v>107051</v>
      </c>
      <c r="C17" s="631">
        <v>33975</v>
      </c>
      <c r="D17" s="723"/>
    </row>
    <row r="18" spans="1:3" ht="12.75">
      <c r="A18" s="101"/>
      <c r="B18" s="338"/>
      <c r="C18" s="631"/>
    </row>
    <row r="19" spans="1:3" ht="12.75">
      <c r="A19" s="101" t="s">
        <v>417</v>
      </c>
      <c r="B19" s="338"/>
      <c r="C19" s="631"/>
    </row>
    <row r="20" spans="1:3" ht="12.75">
      <c r="A20" s="101" t="s">
        <v>415</v>
      </c>
      <c r="B20" s="338"/>
      <c r="C20" s="631"/>
    </row>
    <row r="21" spans="1:3" ht="12.75">
      <c r="A21" s="101" t="s">
        <v>577</v>
      </c>
      <c r="B21" s="338">
        <v>11558827</v>
      </c>
      <c r="C21" s="631">
        <v>8468811</v>
      </c>
    </row>
    <row r="22" spans="1:3" ht="12.75">
      <c r="A22" s="101"/>
      <c r="B22" s="338"/>
      <c r="C22" s="631"/>
    </row>
    <row r="23" spans="1:3" ht="12.75">
      <c r="A23" s="101" t="s">
        <v>416</v>
      </c>
      <c r="B23" s="338"/>
      <c r="C23" s="631"/>
    </row>
    <row r="24" spans="1:3" ht="12.75">
      <c r="A24" s="101" t="s">
        <v>579</v>
      </c>
      <c r="B24" s="338">
        <v>54922</v>
      </c>
      <c r="C24" s="631">
        <v>55891</v>
      </c>
    </row>
    <row r="25" spans="1:3" ht="12.75">
      <c r="A25" s="101" t="s">
        <v>578</v>
      </c>
      <c r="B25" s="338">
        <v>3067720</v>
      </c>
      <c r="C25" s="631">
        <v>3302449</v>
      </c>
    </row>
    <row r="26" spans="1:3" ht="12.75">
      <c r="A26" s="101" t="s">
        <v>580</v>
      </c>
      <c r="B26" s="338">
        <v>448614</v>
      </c>
      <c r="C26" s="631">
        <v>448614</v>
      </c>
    </row>
    <row r="27" spans="1:3" ht="12.75">
      <c r="A27" s="101" t="s">
        <v>691</v>
      </c>
      <c r="B27" s="338">
        <v>1280</v>
      </c>
      <c r="C27" s="631">
        <v>58</v>
      </c>
    </row>
    <row r="28" spans="1:3" ht="12.75">
      <c r="A28" s="101"/>
      <c r="B28" s="338"/>
      <c r="C28" s="631"/>
    </row>
    <row r="29" spans="1:3" ht="12.75">
      <c r="A29" s="101" t="s">
        <v>396</v>
      </c>
      <c r="B29" s="338">
        <v>200</v>
      </c>
      <c r="C29" s="631">
        <v>0</v>
      </c>
    </row>
    <row r="30" spans="1:3" ht="12.75">
      <c r="A30" s="101" t="s">
        <v>397</v>
      </c>
      <c r="B30" s="338"/>
      <c r="C30" s="631"/>
    </row>
    <row r="31" spans="1:3" ht="12.75">
      <c r="A31" s="101" t="s">
        <v>146</v>
      </c>
      <c r="B31" s="338"/>
      <c r="C31" s="631">
        <v>1</v>
      </c>
    </row>
    <row r="32" spans="1:4" s="26" customFormat="1" ht="15.75" thickBot="1">
      <c r="A32" s="547" t="s">
        <v>348</v>
      </c>
      <c r="B32" s="548">
        <f>SUM(B6:B31)</f>
        <v>17083323</v>
      </c>
      <c r="C32" s="644">
        <f>SUM(C7:C31)</f>
        <v>15065107</v>
      </c>
      <c r="D32" s="546"/>
    </row>
    <row r="33" ht="12.75">
      <c r="D33" s="723"/>
    </row>
    <row r="34" spans="1:2" ht="12.75">
      <c r="A34" s="26" t="s">
        <v>418</v>
      </c>
      <c r="B34" s="102"/>
    </row>
    <row r="35" ht="13.5" thickBot="1"/>
    <row r="36" spans="1:3" ht="18.75" customHeight="1" thickBot="1">
      <c r="A36" s="27" t="s">
        <v>419</v>
      </c>
      <c r="B36" s="103"/>
      <c r="C36" s="643"/>
    </row>
    <row r="37" spans="1:3" ht="12.75">
      <c r="A37" s="56"/>
      <c r="B37" s="648"/>
      <c r="C37" s="646"/>
    </row>
    <row r="38" spans="1:3" ht="21">
      <c r="A38" s="57" t="s">
        <v>229</v>
      </c>
      <c r="B38" s="649" t="s">
        <v>368</v>
      </c>
      <c r="C38" s="647" t="s">
        <v>24</v>
      </c>
    </row>
    <row r="39" spans="1:3" ht="12.75">
      <c r="A39" s="53"/>
      <c r="B39" s="313"/>
      <c r="C39" s="631"/>
    </row>
    <row r="40" spans="1:3" ht="12.75">
      <c r="A40" s="101" t="s">
        <v>420</v>
      </c>
      <c r="B40" s="107"/>
      <c r="C40" s="631"/>
    </row>
    <row r="41" spans="1:3" ht="12.75">
      <c r="A41" s="101" t="s">
        <v>421</v>
      </c>
      <c r="B41" s="107"/>
      <c r="C41" s="631"/>
    </row>
    <row r="42" spans="1:3" ht="12.75">
      <c r="A42" s="101" t="s">
        <v>581</v>
      </c>
      <c r="B42" s="338">
        <v>122428287</v>
      </c>
      <c r="C42" s="631">
        <v>123037521</v>
      </c>
    </row>
    <row r="43" spans="1:3" ht="12.75">
      <c r="A43" s="101" t="s">
        <v>810</v>
      </c>
      <c r="B43" s="338"/>
      <c r="C43" s="631"/>
    </row>
    <row r="44" spans="1:3" ht="12.75">
      <c r="A44" s="101" t="s">
        <v>177</v>
      </c>
      <c r="B44" s="338">
        <v>13964</v>
      </c>
      <c r="C44" s="631">
        <v>18473</v>
      </c>
    </row>
    <row r="45" spans="1:3" ht="12.75">
      <c r="A45" s="101" t="s">
        <v>422</v>
      </c>
      <c r="B45" s="338"/>
      <c r="C45" s="631"/>
    </row>
    <row r="46" spans="1:3" ht="12.75">
      <c r="A46" s="101" t="s">
        <v>422</v>
      </c>
      <c r="B46" s="338">
        <v>49482236</v>
      </c>
      <c r="C46" s="631">
        <v>47368078</v>
      </c>
    </row>
    <row r="47" spans="1:3" ht="12.75">
      <c r="A47" s="101" t="s">
        <v>809</v>
      </c>
      <c r="B47" s="338">
        <v>0</v>
      </c>
      <c r="C47" s="631"/>
    </row>
    <row r="48" spans="1:4" ht="12.75">
      <c r="A48" s="101" t="s">
        <v>609</v>
      </c>
      <c r="B48" s="338">
        <v>2450929</v>
      </c>
      <c r="C48" s="631"/>
      <c r="D48" s="723"/>
    </row>
    <row r="49" spans="1:4" ht="12.75">
      <c r="A49" s="101" t="s">
        <v>676</v>
      </c>
      <c r="B49" s="338">
        <v>12808</v>
      </c>
      <c r="C49" s="631">
        <v>18775</v>
      </c>
      <c r="D49" s="723"/>
    </row>
    <row r="50" spans="1:3" ht="12.75">
      <c r="A50" s="101" t="s">
        <v>586</v>
      </c>
      <c r="B50" s="338">
        <v>142691</v>
      </c>
      <c r="C50" s="631">
        <v>200836</v>
      </c>
    </row>
    <row r="51" spans="1:4" ht="12.75">
      <c r="A51" s="101" t="s">
        <v>616</v>
      </c>
      <c r="B51" s="338"/>
      <c r="C51" s="631"/>
      <c r="D51" s="723"/>
    </row>
    <row r="52" spans="1:4" ht="12.75">
      <c r="A52" s="101" t="s">
        <v>606</v>
      </c>
      <c r="B52" s="338">
        <v>3405631</v>
      </c>
      <c r="C52" s="631">
        <v>3258642</v>
      </c>
      <c r="D52" s="416"/>
    </row>
    <row r="53" spans="1:3" ht="12.75">
      <c r="A53" s="101"/>
      <c r="B53" s="338"/>
      <c r="C53" s="631"/>
    </row>
    <row r="54" spans="1:4" ht="12.75">
      <c r="A54" s="101" t="s">
        <v>423</v>
      </c>
      <c r="B54" s="338"/>
      <c r="C54" s="631">
        <v>1386</v>
      </c>
      <c r="D54" s="681"/>
    </row>
    <row r="55" spans="1:4" ht="12.75">
      <c r="A55" s="101" t="s">
        <v>626</v>
      </c>
      <c r="B55" s="338">
        <v>187377</v>
      </c>
      <c r="C55" s="631">
        <v>178087</v>
      </c>
      <c r="D55" s="383"/>
    </row>
    <row r="56" spans="1:3" ht="12.75">
      <c r="A56" s="101" t="s">
        <v>677</v>
      </c>
      <c r="B56" s="338">
        <v>965493</v>
      </c>
      <c r="C56" s="631">
        <v>965493</v>
      </c>
    </row>
    <row r="57" spans="1:4" ht="12.75">
      <c r="A57" s="101" t="s">
        <v>147</v>
      </c>
      <c r="B57" s="338">
        <v>120726</v>
      </c>
      <c r="C57" s="631">
        <v>131045</v>
      </c>
      <c r="D57" s="416"/>
    </row>
    <row r="58" spans="1:4" ht="12.75">
      <c r="A58" s="101" t="s">
        <v>148</v>
      </c>
      <c r="B58" s="338">
        <v>268718</v>
      </c>
      <c r="C58" s="631">
        <v>241978</v>
      </c>
      <c r="D58" s="416"/>
    </row>
    <row r="59" spans="1:4" ht="12.75">
      <c r="A59" s="101" t="s">
        <v>178</v>
      </c>
      <c r="B59" s="338">
        <v>80000</v>
      </c>
      <c r="C59" s="631"/>
      <c r="D59" s="416"/>
    </row>
    <row r="60" spans="1:4" ht="12.75">
      <c r="A60" s="101" t="s">
        <v>194</v>
      </c>
      <c r="B60" s="338">
        <v>145634</v>
      </c>
      <c r="C60" s="631">
        <v>140509</v>
      </c>
      <c r="D60" s="416"/>
    </row>
    <row r="61" spans="1:4" ht="12.75">
      <c r="A61" s="101" t="s">
        <v>195</v>
      </c>
      <c r="B61" s="338">
        <v>137651</v>
      </c>
      <c r="C61" s="631">
        <v>49839</v>
      </c>
      <c r="D61" s="416"/>
    </row>
    <row r="62" spans="1:4" ht="12.75">
      <c r="A62" s="101"/>
      <c r="B62" s="338"/>
      <c r="C62" s="631"/>
      <c r="D62" s="416"/>
    </row>
    <row r="63" spans="1:3" ht="12.75">
      <c r="A63" s="101" t="s">
        <v>424</v>
      </c>
      <c r="B63" s="338"/>
      <c r="C63" s="631"/>
    </row>
    <row r="64" spans="1:3" ht="12.75">
      <c r="A64" s="101" t="s">
        <v>421</v>
      </c>
      <c r="B64" s="338">
        <v>16746986</v>
      </c>
      <c r="C64" s="631">
        <v>16746986</v>
      </c>
    </row>
    <row r="65" spans="1:3" ht="12.75">
      <c r="A65" s="101" t="s">
        <v>627</v>
      </c>
      <c r="B65" s="338">
        <v>3266</v>
      </c>
      <c r="C65" s="631">
        <v>457</v>
      </c>
    </row>
    <row r="66" spans="1:3" ht="12.75">
      <c r="A66" s="101" t="s">
        <v>582</v>
      </c>
      <c r="B66" s="338">
        <v>11558827</v>
      </c>
      <c r="C66" s="631">
        <v>9637925</v>
      </c>
    </row>
    <row r="67" spans="1:3" ht="12.75">
      <c r="A67" s="101"/>
      <c r="B67" s="338"/>
      <c r="C67" s="631"/>
    </row>
    <row r="68" spans="1:3" ht="12.75">
      <c r="A68" s="101" t="s">
        <v>422</v>
      </c>
      <c r="B68" s="338"/>
      <c r="C68" s="631"/>
    </row>
    <row r="69" spans="1:3" ht="12.75">
      <c r="A69" s="101" t="s">
        <v>583</v>
      </c>
      <c r="B69" s="338">
        <f>182292+4526023</f>
        <v>4708315</v>
      </c>
      <c r="C69" s="631">
        <v>4708315</v>
      </c>
    </row>
    <row r="70" spans="1:3" ht="12.75">
      <c r="A70" s="101" t="s">
        <v>584</v>
      </c>
      <c r="B70" s="338">
        <v>3067720</v>
      </c>
      <c r="C70" s="631">
        <v>3372850</v>
      </c>
    </row>
    <row r="71" spans="1:3" ht="12.75">
      <c r="A71" s="101" t="s">
        <v>628</v>
      </c>
      <c r="B71" s="338">
        <v>16061</v>
      </c>
      <c r="C71" s="631">
        <v>25409</v>
      </c>
    </row>
    <row r="72" spans="1:4" ht="12.75">
      <c r="A72" s="101" t="s">
        <v>585</v>
      </c>
      <c r="B72" s="338">
        <v>2821389</v>
      </c>
      <c r="C72" s="631">
        <v>2821389</v>
      </c>
      <c r="D72" s="416"/>
    </row>
    <row r="73" spans="1:3" ht="12.75">
      <c r="A73" s="101"/>
      <c r="B73" s="338"/>
      <c r="C73" s="631"/>
    </row>
    <row r="74" spans="1:4" ht="12.75">
      <c r="A74" s="101" t="s">
        <v>423</v>
      </c>
      <c r="B74" s="338">
        <v>1116</v>
      </c>
      <c r="C74" s="631">
        <v>397</v>
      </c>
      <c r="D74" s="723"/>
    </row>
    <row r="75" spans="1:3" ht="12.75">
      <c r="A75" s="101"/>
      <c r="B75" s="338"/>
      <c r="C75" s="631"/>
    </row>
    <row r="76" spans="1:3" ht="12.75">
      <c r="A76" s="101" t="s">
        <v>397</v>
      </c>
      <c r="B76" s="338"/>
      <c r="C76" s="631"/>
    </row>
    <row r="77" spans="1:3" ht="12.75">
      <c r="A77" s="101"/>
      <c r="B77" s="338"/>
      <c r="C77" s="631">
        <v>152</v>
      </c>
    </row>
    <row r="78" spans="1:3" ht="12.75">
      <c r="A78" s="101" t="s">
        <v>191</v>
      </c>
      <c r="B78" s="338"/>
      <c r="C78" s="631"/>
    </row>
    <row r="79" spans="1:3" ht="12.75">
      <c r="A79" s="101" t="s">
        <v>421</v>
      </c>
      <c r="B79" s="338"/>
      <c r="C79" s="631"/>
    </row>
    <row r="80" spans="1:4" ht="12.75">
      <c r="A80" s="101" t="s">
        <v>179</v>
      </c>
      <c r="B80" s="338">
        <v>12532214</v>
      </c>
      <c r="C80" s="631">
        <v>13731497</v>
      </c>
      <c r="D80" s="723"/>
    </row>
    <row r="81" spans="1:4" ht="12.75">
      <c r="A81" s="101" t="s">
        <v>750</v>
      </c>
      <c r="B81" s="338">
        <v>237407</v>
      </c>
      <c r="C81" s="631"/>
      <c r="D81" s="416"/>
    </row>
    <row r="82" spans="1:4" ht="12.75">
      <c r="A82" s="101" t="s">
        <v>180</v>
      </c>
      <c r="B82" s="338">
        <v>572340</v>
      </c>
      <c r="C82" s="631"/>
      <c r="D82" s="416"/>
    </row>
    <row r="83" spans="1:3" ht="12.75">
      <c r="A83" s="101" t="s">
        <v>422</v>
      </c>
      <c r="B83" s="338"/>
      <c r="C83" s="631"/>
    </row>
    <row r="84" spans="1:4" ht="12.75">
      <c r="A84" s="101" t="s">
        <v>181</v>
      </c>
      <c r="B84" s="338">
        <v>5640298</v>
      </c>
      <c r="C84" s="631">
        <v>6113793</v>
      </c>
      <c r="D84" s="416"/>
    </row>
    <row r="85" spans="1:4" ht="12.75">
      <c r="A85" s="101" t="s">
        <v>751</v>
      </c>
      <c r="B85" s="338">
        <v>437268</v>
      </c>
      <c r="C85" s="631"/>
      <c r="D85" s="723"/>
    </row>
    <row r="86" spans="1:4" ht="12.75">
      <c r="A86" s="101" t="s">
        <v>182</v>
      </c>
      <c r="B86" s="338">
        <v>54038</v>
      </c>
      <c r="C86" s="631"/>
      <c r="D86" s="723"/>
    </row>
    <row r="87" spans="1:3" ht="12.75">
      <c r="A87" s="101" t="s">
        <v>606</v>
      </c>
      <c r="B87" s="338">
        <v>25510</v>
      </c>
      <c r="C87" s="631"/>
    </row>
    <row r="88" spans="1:3" ht="12.75">
      <c r="A88" s="101" t="s">
        <v>423</v>
      </c>
      <c r="B88" s="338">
        <v>46324</v>
      </c>
      <c r="C88" s="631">
        <v>54158</v>
      </c>
    </row>
    <row r="89" spans="1:3" ht="12.75">
      <c r="A89" s="101"/>
      <c r="B89" s="338"/>
      <c r="C89" s="631"/>
    </row>
    <row r="90" spans="1:3" ht="12.75">
      <c r="A90" s="101" t="s">
        <v>397</v>
      </c>
      <c r="B90" s="338">
        <v>334000</v>
      </c>
      <c r="C90" s="631">
        <v>171182</v>
      </c>
    </row>
    <row r="91" spans="1:3" ht="12.75">
      <c r="A91" s="101" t="s">
        <v>146</v>
      </c>
      <c r="B91" s="107"/>
      <c r="C91" s="631">
        <v>2</v>
      </c>
    </row>
    <row r="92" spans="1:4" s="26" customFormat="1" ht="13.5" thickBot="1">
      <c r="A92" s="547" t="s">
        <v>348</v>
      </c>
      <c r="B92" s="548">
        <f>SUM(B39:B91)</f>
        <v>238645224</v>
      </c>
      <c r="C92" s="644">
        <f>SUM(C39:C91)</f>
        <v>232995174</v>
      </c>
      <c r="D92" s="549"/>
    </row>
    <row r="93" spans="3:4" ht="12.75">
      <c r="C93" s="645"/>
      <c r="D93" s="724"/>
    </row>
    <row r="94" ht="12.75">
      <c r="D94" s="723"/>
    </row>
    <row r="96" ht="14.25">
      <c r="C96" s="339"/>
    </row>
  </sheetData>
  <printOptions gridLines="1" horizontalCentered="1" verticalCentered="1"/>
  <pageMargins left="0.2362204724409449" right="0.2362204724409449" top="0.52" bottom="0.28" header="0.24" footer="0.17"/>
  <pageSetup firstPageNumber="64" useFirstPageNumber="1" horizontalDpi="300" verticalDpi="300" orientation="portrait" paperSize="9" scale="80" r:id="rId1"/>
  <headerFooter alignWithMargins="0">
    <oddHeader>&amp;CTabelle N.I.14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1" sqref="A1:C27"/>
    </sheetView>
  </sheetViews>
  <sheetFormatPr defaultColWidth="9.140625" defaultRowHeight="12.75"/>
  <cols>
    <col min="1" max="1" width="48.28125" style="86" customWidth="1"/>
    <col min="2" max="2" width="16.140625" style="86" customWidth="1"/>
    <col min="3" max="3" width="16.140625" style="247" customWidth="1"/>
    <col min="4" max="6" width="13.7109375" style="86" customWidth="1"/>
    <col min="7" max="9" width="9.140625" style="86" customWidth="1"/>
    <col min="10" max="10" width="9.421875" style="86" customWidth="1"/>
    <col min="11" max="11" width="9.140625" style="86" customWidth="1"/>
    <col min="12" max="12" width="11.28125" style="86" customWidth="1"/>
    <col min="13" max="16384" width="9.140625" style="86" customWidth="1"/>
  </cols>
  <sheetData>
    <row r="1" spans="1:3" s="1" customFormat="1" ht="12.75">
      <c r="A1" s="26" t="s">
        <v>780</v>
      </c>
      <c r="B1" s="102"/>
      <c r="C1" s="292"/>
    </row>
    <row r="3" ht="12" thickBot="1"/>
    <row r="4" spans="1:3" ht="11.25">
      <c r="A4" s="340" t="s">
        <v>741</v>
      </c>
      <c r="B4" s="246"/>
      <c r="C4" s="253"/>
    </row>
    <row r="5" spans="1:3" ht="11.25">
      <c r="A5" s="382"/>
      <c r="B5" s="343"/>
      <c r="C5" s="254"/>
    </row>
    <row r="6" spans="1:3" ht="11.25">
      <c r="A6" s="240" t="s">
        <v>229</v>
      </c>
      <c r="B6" s="344" t="s">
        <v>368</v>
      </c>
      <c r="C6" s="255" t="s">
        <v>23</v>
      </c>
    </row>
    <row r="7" spans="1:3" s="189" customFormat="1" ht="11.25">
      <c r="A7" s="341" t="s">
        <v>458</v>
      </c>
      <c r="B7" s="345"/>
      <c r="C7" s="571"/>
    </row>
    <row r="8" spans="1:3" s="189" customFormat="1" ht="12.75">
      <c r="A8" s="52" t="s">
        <v>220</v>
      </c>
      <c r="B8" s="345"/>
      <c r="C8" s="571"/>
    </row>
    <row r="9" spans="1:3" s="189" customFormat="1" ht="12.75">
      <c r="A9" s="52" t="s">
        <v>221</v>
      </c>
      <c r="B9" s="256">
        <v>36</v>
      </c>
      <c r="C9" s="256">
        <v>3</v>
      </c>
    </row>
    <row r="10" spans="1:3" s="189" customFormat="1" ht="12.75">
      <c r="A10" s="52" t="s">
        <v>222</v>
      </c>
      <c r="B10" s="256">
        <v>2759</v>
      </c>
      <c r="C10" s="256">
        <v>5066</v>
      </c>
    </row>
    <row r="11" spans="1:3" s="189" customFormat="1" ht="12.75">
      <c r="A11" s="52" t="s">
        <v>811</v>
      </c>
      <c r="B11" s="256">
        <v>250</v>
      </c>
      <c r="C11" s="256">
        <v>27</v>
      </c>
    </row>
    <row r="12" spans="1:3" s="189" customFormat="1" ht="12.75">
      <c r="A12" s="52" t="s">
        <v>223</v>
      </c>
      <c r="B12" s="256"/>
      <c r="C12" s="256"/>
    </row>
    <row r="13" spans="1:3" s="189" customFormat="1" ht="12.75">
      <c r="A13" s="52" t="s">
        <v>224</v>
      </c>
      <c r="B13" s="256">
        <v>1775</v>
      </c>
      <c r="C13" s="256">
        <v>1405</v>
      </c>
    </row>
    <row r="14" spans="1:3" s="189" customFormat="1" ht="11.25">
      <c r="A14" s="342"/>
      <c r="B14" s="256"/>
      <c r="C14" s="256"/>
    </row>
    <row r="15" spans="1:3" ht="11.25">
      <c r="A15" s="226" t="s">
        <v>461</v>
      </c>
      <c r="B15" s="257"/>
      <c r="C15" s="257"/>
    </row>
    <row r="16" spans="1:3" ht="12.75">
      <c r="A16" s="101" t="s">
        <v>468</v>
      </c>
      <c r="B16" s="572"/>
      <c r="C16" s="572"/>
    </row>
    <row r="17" spans="1:4" ht="12.75">
      <c r="A17" s="101" t="s">
        <v>469</v>
      </c>
      <c r="B17" s="572"/>
      <c r="C17" s="572"/>
      <c r="D17" s="189"/>
    </row>
    <row r="18" spans="1:3" ht="12.75">
      <c r="A18" s="101" t="s">
        <v>470</v>
      </c>
      <c r="B18" s="572"/>
      <c r="C18" s="572"/>
    </row>
    <row r="19" spans="1:3" ht="12.75">
      <c r="A19" s="101" t="s">
        <v>471</v>
      </c>
      <c r="B19" s="572"/>
      <c r="C19" s="572"/>
    </row>
    <row r="20" spans="1:4" ht="12.75">
      <c r="A20" s="101" t="s">
        <v>472</v>
      </c>
      <c r="B20" s="572">
        <v>-1851</v>
      </c>
      <c r="C20" s="572">
        <v>-1663</v>
      </c>
      <c r="D20" s="189"/>
    </row>
    <row r="21" spans="1:4" ht="12.75">
      <c r="A21" s="101" t="s">
        <v>473</v>
      </c>
      <c r="B21" s="572">
        <v>0</v>
      </c>
      <c r="C21" s="572"/>
      <c r="D21" s="189"/>
    </row>
    <row r="22" spans="1:4" ht="12.75">
      <c r="A22" s="101" t="s">
        <v>474</v>
      </c>
      <c r="B22" s="572"/>
      <c r="C22" s="572"/>
      <c r="D22" s="189"/>
    </row>
    <row r="23" spans="1:4" ht="12.75">
      <c r="A23" s="101" t="s">
        <v>475</v>
      </c>
      <c r="B23" s="572">
        <v>-90</v>
      </c>
      <c r="C23" s="572">
        <v>-14</v>
      </c>
      <c r="D23" s="189"/>
    </row>
    <row r="24" spans="1:4" ht="12.75">
      <c r="A24" s="101" t="s">
        <v>476</v>
      </c>
      <c r="B24" s="572">
        <v>-13398</v>
      </c>
      <c r="C24" s="572">
        <v>-10056</v>
      </c>
      <c r="D24" s="189"/>
    </row>
    <row r="25" spans="1:4" ht="12.75">
      <c r="A25" s="295" t="s">
        <v>673</v>
      </c>
      <c r="B25" s="570"/>
      <c r="C25" s="572"/>
      <c r="D25" s="189"/>
    </row>
    <row r="26" spans="1:3" ht="11.25">
      <c r="A26" s="576"/>
      <c r="B26" s="577"/>
      <c r="C26" s="578"/>
    </row>
    <row r="27" spans="1:3" ht="21" customHeight="1" thickBot="1">
      <c r="A27" s="573" t="s">
        <v>348</v>
      </c>
      <c r="B27" s="574">
        <f>SUM(B9:B26)</f>
        <v>-10519</v>
      </c>
      <c r="C27" s="575">
        <f>SUM(C9:C26)</f>
        <v>-5232</v>
      </c>
    </row>
    <row r="28" spans="1:3" ht="11.25">
      <c r="A28" s="97"/>
      <c r="B28" s="97"/>
      <c r="C28" s="258"/>
    </row>
  </sheetData>
  <printOptions/>
  <pageMargins left="0.75" right="0.75" top="1" bottom="1" header="0.5" footer="0.5"/>
  <pageSetup firstPageNumber="66" useFirstPageNumber="1" horizontalDpi="300" verticalDpi="300" orientation="portrait" paperSize="9" r:id="rId1"/>
  <headerFooter alignWithMargins="0">
    <oddHeader>&amp;CTabella N.I. 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showGridLines="0" workbookViewId="0" topLeftCell="C7">
      <selection activeCell="A1" sqref="A1:M32"/>
    </sheetView>
  </sheetViews>
  <sheetFormatPr defaultColWidth="9.140625" defaultRowHeight="12.75"/>
  <cols>
    <col min="1" max="1" width="27.7109375" style="3" customWidth="1"/>
    <col min="2" max="2" width="10.8515625" style="281" bestFit="1" customWidth="1"/>
    <col min="3" max="3" width="9.57421875" style="3" customWidth="1"/>
    <col min="4" max="4" width="9.28125" style="3" bestFit="1" customWidth="1"/>
    <col min="5" max="5" width="12.140625" style="281" customWidth="1"/>
    <col min="6" max="6" width="12.421875" style="247" customWidth="1"/>
    <col min="7" max="7" width="10.8515625" style="247" bestFit="1" customWidth="1"/>
    <col min="8" max="8" width="12.140625" style="71" customWidth="1"/>
    <col min="9" max="9" width="9.8515625" style="371" bestFit="1" customWidth="1"/>
    <col min="10" max="10" width="9.421875" style="3" customWidth="1"/>
    <col min="11" max="11" width="9.28125" style="3" bestFit="1" customWidth="1"/>
    <col min="12" max="12" width="11.28125" style="247" customWidth="1"/>
    <col min="13" max="13" width="12.28125" style="247" customWidth="1"/>
    <col min="14" max="15" width="9.28125" style="3" bestFit="1" customWidth="1"/>
    <col min="16" max="16384" width="9.140625" style="3" customWidth="1"/>
  </cols>
  <sheetData>
    <row r="1" ht="11.25">
      <c r="A1" s="13" t="s">
        <v>225</v>
      </c>
    </row>
    <row r="2" ht="12" thickBot="1"/>
    <row r="3" spans="1:13" ht="13.5" customHeight="1" thickBot="1">
      <c r="A3" s="16" t="s">
        <v>226</v>
      </c>
      <c r="B3" s="282"/>
      <c r="C3" s="17"/>
      <c r="D3" s="17"/>
      <c r="E3" s="282"/>
      <c r="F3" s="248"/>
      <c r="G3" s="248"/>
      <c r="H3" s="72"/>
      <c r="I3" s="372"/>
      <c r="J3" s="17"/>
      <c r="K3" s="17"/>
      <c r="L3" s="248"/>
      <c r="M3" s="288"/>
    </row>
    <row r="4" spans="1:13" ht="11.25">
      <c r="A4" s="29"/>
      <c r="B4" s="283" t="s">
        <v>227</v>
      </c>
      <c r="C4" s="30"/>
      <c r="D4" s="31"/>
      <c r="E4" s="287"/>
      <c r="F4" s="277"/>
      <c r="G4" s="249" t="s">
        <v>228</v>
      </c>
      <c r="H4" s="76"/>
      <c r="I4" s="373"/>
      <c r="J4" s="33"/>
      <c r="K4" s="33"/>
      <c r="L4" s="249"/>
      <c r="M4" s="289"/>
    </row>
    <row r="5" spans="1:13" ht="33.75">
      <c r="A5" s="35" t="s">
        <v>229</v>
      </c>
      <c r="B5" s="284" t="s">
        <v>426</v>
      </c>
      <c r="C5" s="36" t="s">
        <v>230</v>
      </c>
      <c r="D5" s="36" t="s">
        <v>231</v>
      </c>
      <c r="E5" s="284" t="s">
        <v>428</v>
      </c>
      <c r="F5" s="278" t="s">
        <v>232</v>
      </c>
      <c r="G5" s="250" t="s">
        <v>233</v>
      </c>
      <c r="H5" s="74" t="s">
        <v>437</v>
      </c>
      <c r="I5" s="374" t="s">
        <v>436</v>
      </c>
      <c r="J5" s="36" t="s">
        <v>230</v>
      </c>
      <c r="K5" s="36" t="s">
        <v>231</v>
      </c>
      <c r="L5" s="250" t="s">
        <v>438</v>
      </c>
      <c r="M5" s="290" t="s">
        <v>235</v>
      </c>
    </row>
    <row r="6" spans="1:13" ht="11.25">
      <c r="A6" s="5"/>
      <c r="B6" s="285"/>
      <c r="C6" s="9"/>
      <c r="D6" s="9"/>
      <c r="E6" s="285"/>
      <c r="F6" s="279"/>
      <c r="G6" s="251"/>
      <c r="H6" s="68"/>
      <c r="I6" s="251"/>
      <c r="J6" s="9"/>
      <c r="K6" s="9"/>
      <c r="L6" s="251"/>
      <c r="M6" s="257"/>
    </row>
    <row r="7" spans="1:13" ht="11.25">
      <c r="A7" s="5" t="s">
        <v>236</v>
      </c>
      <c r="B7" s="285"/>
      <c r="C7" s="9"/>
      <c r="D7" s="9"/>
      <c r="E7" s="285"/>
      <c r="F7" s="279"/>
      <c r="G7" s="251"/>
      <c r="H7" s="68"/>
      <c r="I7" s="251"/>
      <c r="J7" s="9"/>
      <c r="K7" s="9"/>
      <c r="L7" s="251"/>
      <c r="M7" s="257"/>
    </row>
    <row r="8" spans="1:13" ht="11.25">
      <c r="A8" s="5"/>
      <c r="B8" s="285"/>
      <c r="C8" s="9"/>
      <c r="D8" s="9"/>
      <c r="E8" s="285"/>
      <c r="F8" s="279"/>
      <c r="G8" s="251"/>
      <c r="H8" s="68"/>
      <c r="I8" s="251"/>
      <c r="J8" s="9"/>
      <c r="K8" s="9"/>
      <c r="L8" s="251"/>
      <c r="M8" s="257"/>
    </row>
    <row r="9" spans="1:13" ht="11.25">
      <c r="A9" s="5" t="s">
        <v>237</v>
      </c>
      <c r="B9" s="285"/>
      <c r="C9" s="9"/>
      <c r="D9" s="9"/>
      <c r="E9" s="285"/>
      <c r="F9" s="279"/>
      <c r="G9" s="251"/>
      <c r="H9" s="68"/>
      <c r="I9" s="251"/>
      <c r="J9" s="9"/>
      <c r="K9" s="9"/>
      <c r="L9" s="251"/>
      <c r="M9" s="257"/>
    </row>
    <row r="10" spans="1:13" ht="11.25">
      <c r="A10" s="5"/>
      <c r="B10" s="285"/>
      <c r="C10" s="9"/>
      <c r="D10" s="9"/>
      <c r="E10" s="285"/>
      <c r="F10" s="279"/>
      <c r="G10" s="251"/>
      <c r="H10" s="68"/>
      <c r="I10" s="251"/>
      <c r="J10" s="9"/>
      <c r="K10" s="9"/>
      <c r="L10" s="251"/>
      <c r="M10" s="257"/>
    </row>
    <row r="11" spans="1:15" ht="22.5">
      <c r="A11" s="21" t="s">
        <v>238</v>
      </c>
      <c r="B11" s="286">
        <v>624199</v>
      </c>
      <c r="C11" s="9"/>
      <c r="D11" s="9"/>
      <c r="E11" s="286">
        <v>604601</v>
      </c>
      <c r="F11" s="279">
        <f>+B11+C11-E11</f>
        <v>19598</v>
      </c>
      <c r="G11" s="251">
        <v>321</v>
      </c>
      <c r="H11" s="68"/>
      <c r="I11" s="251"/>
      <c r="J11" s="9"/>
      <c r="K11" s="9"/>
      <c r="L11" s="251">
        <v>7709</v>
      </c>
      <c r="M11" s="257">
        <f>+F11+G11-I11-L11</f>
        <v>12210</v>
      </c>
      <c r="N11" s="281"/>
      <c r="O11" s="281"/>
    </row>
    <row r="12" spans="1:14" ht="11.25">
      <c r="A12" s="5"/>
      <c r="B12" s="285"/>
      <c r="C12" s="9"/>
      <c r="D12" s="9"/>
      <c r="E12" s="285"/>
      <c r="F12" s="279"/>
      <c r="G12" s="251"/>
      <c r="H12" s="68"/>
      <c r="I12" s="251"/>
      <c r="J12" s="9"/>
      <c r="K12" s="9"/>
      <c r="L12" s="251"/>
      <c r="M12" s="257"/>
      <c r="N12" s="281"/>
    </row>
    <row r="13" spans="1:13" ht="11.25">
      <c r="A13" s="5" t="s">
        <v>239</v>
      </c>
      <c r="B13" s="285"/>
      <c r="C13" s="9"/>
      <c r="D13" s="9"/>
      <c r="E13" s="286"/>
      <c r="F13" s="279"/>
      <c r="G13" s="251"/>
      <c r="H13" s="68"/>
      <c r="I13" s="251"/>
      <c r="J13" s="9"/>
      <c r="K13" s="9"/>
      <c r="L13" s="251"/>
      <c r="M13" s="257">
        <f>+F13+G13+H13-I13-L13</f>
        <v>0</v>
      </c>
    </row>
    <row r="14" spans="1:13" ht="11.25">
      <c r="A14" s="5"/>
      <c r="B14" s="285"/>
      <c r="C14" s="9"/>
      <c r="D14" s="9"/>
      <c r="E14" s="285"/>
      <c r="F14" s="279"/>
      <c r="G14" s="251"/>
      <c r="H14" s="68"/>
      <c r="I14" s="251"/>
      <c r="J14" s="9"/>
      <c r="K14" s="9"/>
      <c r="L14" s="251"/>
      <c r="M14" s="257"/>
    </row>
    <row r="15" spans="1:13" ht="11.25">
      <c r="A15" s="5" t="s">
        <v>240</v>
      </c>
      <c r="B15" s="285"/>
      <c r="C15" s="9"/>
      <c r="D15" s="9"/>
      <c r="E15" s="285"/>
      <c r="F15" s="279"/>
      <c r="G15" s="251"/>
      <c r="H15" s="68"/>
      <c r="I15" s="251"/>
      <c r="J15" s="9"/>
      <c r="K15" s="9"/>
      <c r="L15" s="251"/>
      <c r="M15" s="257">
        <f>+F15+G15+H15-I15-L15</f>
        <v>0</v>
      </c>
    </row>
    <row r="16" spans="1:13" ht="11.25">
      <c r="A16" s="5"/>
      <c r="B16" s="285"/>
      <c r="C16" s="9"/>
      <c r="D16" s="9"/>
      <c r="E16" s="285"/>
      <c r="F16" s="279"/>
      <c r="G16" s="251"/>
      <c r="H16" s="68"/>
      <c r="I16" s="251"/>
      <c r="J16" s="9"/>
      <c r="K16" s="9"/>
      <c r="L16" s="251"/>
      <c r="M16" s="257"/>
    </row>
    <row r="17" spans="1:14" s="247" customFormat="1" ht="12" thickBot="1">
      <c r="A17" s="291"/>
      <c r="B17" s="280">
        <f aca="true" t="shared" si="0" ref="B17:M17">SUM(B7:B16)</f>
        <v>624199</v>
      </c>
      <c r="C17" s="280">
        <f t="shared" si="0"/>
        <v>0</v>
      </c>
      <c r="D17" s="280">
        <f t="shared" si="0"/>
        <v>0</v>
      </c>
      <c r="E17" s="280">
        <f t="shared" si="0"/>
        <v>604601</v>
      </c>
      <c r="F17" s="280">
        <f t="shared" si="0"/>
        <v>19598</v>
      </c>
      <c r="G17" s="280">
        <f t="shared" si="0"/>
        <v>321</v>
      </c>
      <c r="H17" s="280">
        <f t="shared" si="0"/>
        <v>0</v>
      </c>
      <c r="I17" s="280">
        <f t="shared" si="0"/>
        <v>0</v>
      </c>
      <c r="J17" s="280">
        <f t="shared" si="0"/>
        <v>0</v>
      </c>
      <c r="K17" s="280">
        <f t="shared" si="0"/>
        <v>0</v>
      </c>
      <c r="L17" s="280">
        <f t="shared" si="0"/>
        <v>7709</v>
      </c>
      <c r="M17" s="503">
        <f t="shared" si="0"/>
        <v>12210</v>
      </c>
      <c r="N17" s="504"/>
    </row>
    <row r="20" spans="1:8" ht="22.5">
      <c r="A20" s="36" t="s">
        <v>229</v>
      </c>
      <c r="B20" s="36" t="s">
        <v>437</v>
      </c>
      <c r="C20" s="36" t="s">
        <v>436</v>
      </c>
      <c r="D20" s="36" t="s">
        <v>653</v>
      </c>
      <c r="E20" s="36" t="s">
        <v>654</v>
      </c>
      <c r="F20"/>
      <c r="G20" s="273"/>
      <c r="H20" s="273"/>
    </row>
    <row r="21" spans="1:13" s="2" customFormat="1" ht="12.75">
      <c r="A21" s="5"/>
      <c r="B21" s="9"/>
      <c r="C21" s="9"/>
      <c r="D21" s="9"/>
      <c r="E21" s="251"/>
      <c r="F21" s="322"/>
      <c r="G21" s="322"/>
      <c r="H21" s="238"/>
      <c r="I21" s="371"/>
      <c r="J21" s="3"/>
      <c r="K21" s="3"/>
      <c r="L21" s="247"/>
      <c r="M21" s="247"/>
    </row>
    <row r="22" spans="1:13" s="2" customFormat="1" ht="12.75">
      <c r="A22" s="5" t="s">
        <v>236</v>
      </c>
      <c r="B22" s="9"/>
      <c r="C22" s="9"/>
      <c r="D22" s="9"/>
      <c r="E22" s="251"/>
      <c r="F22"/>
      <c r="G22"/>
      <c r="H22" s="238"/>
      <c r="I22" s="371"/>
      <c r="J22" s="3"/>
      <c r="K22" s="3"/>
      <c r="L22" s="247"/>
      <c r="M22" s="247"/>
    </row>
    <row r="23" spans="1:13" s="4" customFormat="1" ht="12.75">
      <c r="A23" s="5"/>
      <c r="B23" s="9"/>
      <c r="C23" s="9"/>
      <c r="D23" s="9"/>
      <c r="E23" s="251"/>
      <c r="F23"/>
      <c r="G23"/>
      <c r="H23" s="71"/>
      <c r="I23" s="371"/>
      <c r="J23" s="3"/>
      <c r="K23" s="3"/>
      <c r="L23" s="247"/>
      <c r="M23" s="247"/>
    </row>
    <row r="24" spans="1:10" ht="11.25">
      <c r="A24" s="5" t="s">
        <v>237</v>
      </c>
      <c r="B24" s="9"/>
      <c r="C24" s="9"/>
      <c r="D24" s="9"/>
      <c r="E24" s="251"/>
      <c r="J24" s="77"/>
    </row>
    <row r="25" spans="1:10" ht="11.25">
      <c r="A25" s="5"/>
      <c r="B25" s="9"/>
      <c r="C25" s="9"/>
      <c r="D25" s="9"/>
      <c r="E25" s="251"/>
      <c r="H25" s="238"/>
      <c r="J25" s="239"/>
    </row>
    <row r="26" spans="1:8" ht="22.5">
      <c r="A26" s="21" t="s">
        <v>238</v>
      </c>
      <c r="B26" s="251"/>
      <c r="C26" s="251">
        <v>83558</v>
      </c>
      <c r="D26" s="251">
        <v>83558</v>
      </c>
      <c r="E26" s="251">
        <f>+B26+C26-D26</f>
        <v>0</v>
      </c>
      <c r="H26" s="238"/>
    </row>
    <row r="27" spans="1:11" ht="11.25">
      <c r="A27" s="5"/>
      <c r="B27" s="9"/>
      <c r="C27" s="9"/>
      <c r="D27" s="9"/>
      <c r="E27" s="251"/>
      <c r="H27" s="238"/>
      <c r="K27" s="77"/>
    </row>
    <row r="28" spans="1:5" ht="11.25">
      <c r="A28" s="5" t="s">
        <v>239</v>
      </c>
      <c r="B28" s="9"/>
      <c r="C28" s="9"/>
      <c r="D28" s="9"/>
      <c r="E28" s="251"/>
    </row>
    <row r="29" spans="1:5" ht="11.25">
      <c r="A29" s="5"/>
      <c r="B29" s="9"/>
      <c r="C29" s="9"/>
      <c r="D29" s="9"/>
      <c r="E29" s="251"/>
    </row>
    <row r="30" spans="1:5" ht="11.25">
      <c r="A30" s="5" t="s">
        <v>240</v>
      </c>
      <c r="B30" s="9"/>
      <c r="C30" s="9"/>
      <c r="D30" s="9"/>
      <c r="E30" s="251"/>
    </row>
    <row r="31" spans="1:5" ht="12" thickBot="1">
      <c r="A31" s="7"/>
      <c r="B31" s="10"/>
      <c r="C31" s="10"/>
      <c r="D31" s="10"/>
      <c r="E31" s="280"/>
    </row>
    <row r="60" ht="12.75"/>
    <row r="62" spans="1:13" s="14" customFormat="1" ht="11.25">
      <c r="A62" s="3"/>
      <c r="B62" s="281"/>
      <c r="C62" s="3"/>
      <c r="D62" s="3"/>
      <c r="E62" s="281"/>
      <c r="F62" s="247"/>
      <c r="G62" s="247"/>
      <c r="H62" s="71"/>
      <c r="I62" s="371"/>
      <c r="J62" s="3"/>
      <c r="K62" s="3"/>
      <c r="L62" s="247"/>
      <c r="M62" s="247"/>
    </row>
    <row r="63" spans="1:13" s="14" customFormat="1" ht="11.25">
      <c r="A63" s="3"/>
      <c r="B63" s="281"/>
      <c r="C63" s="3"/>
      <c r="D63" s="3"/>
      <c r="E63" s="281"/>
      <c r="F63" s="247"/>
      <c r="G63" s="247"/>
      <c r="H63" s="71"/>
      <c r="I63" s="371"/>
      <c r="J63" s="3"/>
      <c r="K63" s="3"/>
      <c r="L63" s="247"/>
      <c r="M63" s="247"/>
    </row>
    <row r="64" spans="1:13" s="14" customFormat="1" ht="11.25">
      <c r="A64" s="3"/>
      <c r="B64" s="281"/>
      <c r="C64" s="3"/>
      <c r="D64" s="3"/>
      <c r="E64" s="281"/>
      <c r="F64" s="247"/>
      <c r="G64" s="247"/>
      <c r="H64" s="71"/>
      <c r="I64" s="371"/>
      <c r="J64" s="3"/>
      <c r="K64" s="3"/>
      <c r="L64" s="247"/>
      <c r="M64" s="247"/>
    </row>
    <row r="65" spans="1:13" s="14" customFormat="1" ht="11.25">
      <c r="A65" s="3"/>
      <c r="B65" s="281"/>
      <c r="C65" s="3"/>
      <c r="D65" s="3"/>
      <c r="E65" s="281"/>
      <c r="F65" s="247"/>
      <c r="G65" s="247"/>
      <c r="H65" s="71"/>
      <c r="I65" s="371"/>
      <c r="J65" s="3"/>
      <c r="K65" s="3"/>
      <c r="L65" s="247"/>
      <c r="M65" s="247"/>
    </row>
    <row r="66" spans="1:13" s="14" customFormat="1" ht="11.25">
      <c r="A66" s="3"/>
      <c r="B66" s="281"/>
      <c r="C66" s="3"/>
      <c r="D66" s="3"/>
      <c r="E66" s="281"/>
      <c r="F66" s="247"/>
      <c r="G66" s="247"/>
      <c r="H66" s="71"/>
      <c r="I66" s="371"/>
      <c r="J66" s="3"/>
      <c r="K66" s="3"/>
      <c r="L66" s="247"/>
      <c r="M66" s="247"/>
    </row>
    <row r="67" spans="1:13" s="14" customFormat="1" ht="11.25">
      <c r="A67" s="3"/>
      <c r="B67" s="281"/>
      <c r="C67" s="3"/>
      <c r="D67" s="3"/>
      <c r="E67" s="281"/>
      <c r="F67" s="247"/>
      <c r="G67" s="247"/>
      <c r="H67" s="71"/>
      <c r="I67" s="371"/>
      <c r="J67" s="3"/>
      <c r="K67" s="3"/>
      <c r="L67" s="247"/>
      <c r="M67" s="247"/>
    </row>
    <row r="68" spans="1:13" s="14" customFormat="1" ht="11.25">
      <c r="A68" s="3"/>
      <c r="B68" s="281"/>
      <c r="C68" s="3"/>
      <c r="D68" s="3"/>
      <c r="E68" s="281"/>
      <c r="F68" s="247"/>
      <c r="G68" s="247"/>
      <c r="H68" s="71"/>
      <c r="I68" s="371"/>
      <c r="J68" s="3"/>
      <c r="K68" s="3"/>
      <c r="L68" s="247"/>
      <c r="M68" s="247"/>
    </row>
    <row r="69" spans="1:13" s="14" customFormat="1" ht="11.25">
      <c r="A69" s="3"/>
      <c r="B69" s="281"/>
      <c r="C69" s="3"/>
      <c r="D69" s="3"/>
      <c r="E69" s="281"/>
      <c r="F69" s="247"/>
      <c r="G69" s="247"/>
      <c r="H69" s="71"/>
      <c r="I69" s="371"/>
      <c r="J69" s="3"/>
      <c r="K69" s="3"/>
      <c r="L69" s="247"/>
      <c r="M69" s="247"/>
    </row>
    <row r="70" spans="1:13" s="14" customFormat="1" ht="11.25">
      <c r="A70" s="3"/>
      <c r="B70" s="281"/>
      <c r="C70" s="3"/>
      <c r="D70" s="3"/>
      <c r="E70" s="281"/>
      <c r="F70" s="247"/>
      <c r="G70" s="247"/>
      <c r="H70" s="71"/>
      <c r="I70" s="371"/>
      <c r="J70" s="3"/>
      <c r="K70" s="3"/>
      <c r="L70" s="247"/>
      <c r="M70" s="247"/>
    </row>
    <row r="71" spans="1:13" s="14" customFormat="1" ht="11.25">
      <c r="A71" s="3"/>
      <c r="B71" s="281"/>
      <c r="C71" s="3"/>
      <c r="D71" s="3"/>
      <c r="E71" s="281"/>
      <c r="F71" s="247"/>
      <c r="G71" s="247"/>
      <c r="H71" s="71"/>
      <c r="I71" s="371"/>
      <c r="J71" s="3"/>
      <c r="K71" s="3"/>
      <c r="L71" s="247"/>
      <c r="M71" s="247"/>
    </row>
    <row r="72" spans="1:13" s="14" customFormat="1" ht="11.25">
      <c r="A72" s="3"/>
      <c r="B72" s="281"/>
      <c r="C72" s="3"/>
      <c r="D72" s="3"/>
      <c r="E72" s="281"/>
      <c r="F72" s="247"/>
      <c r="G72" s="247"/>
      <c r="H72" s="71"/>
      <c r="I72" s="371"/>
      <c r="J72" s="3"/>
      <c r="K72" s="3"/>
      <c r="L72" s="247"/>
      <c r="M72" s="247"/>
    </row>
    <row r="73" spans="1:13" s="14" customFormat="1" ht="11.25">
      <c r="A73" s="3"/>
      <c r="B73" s="281"/>
      <c r="C73" s="3"/>
      <c r="D73" s="3"/>
      <c r="E73" s="281"/>
      <c r="F73" s="247"/>
      <c r="G73" s="247"/>
      <c r="H73" s="71"/>
      <c r="I73" s="371"/>
      <c r="J73" s="3"/>
      <c r="K73" s="3"/>
      <c r="L73" s="247"/>
      <c r="M73" s="247"/>
    </row>
    <row r="74" spans="1:13" s="14" customFormat="1" ht="11.25">
      <c r="A74" s="3"/>
      <c r="B74" s="281"/>
      <c r="C74" s="3"/>
      <c r="D74" s="3"/>
      <c r="E74" s="281"/>
      <c r="F74" s="247"/>
      <c r="G74" s="247"/>
      <c r="H74" s="71"/>
      <c r="I74" s="371"/>
      <c r="J74" s="3"/>
      <c r="K74" s="3"/>
      <c r="L74" s="247"/>
      <c r="M74" s="247"/>
    </row>
    <row r="75" spans="1:13" s="14" customFormat="1" ht="11.25">
      <c r="A75" s="3"/>
      <c r="B75" s="281"/>
      <c r="C75" s="3"/>
      <c r="D75" s="3"/>
      <c r="E75" s="281"/>
      <c r="F75" s="247"/>
      <c r="G75" s="247"/>
      <c r="H75" s="71"/>
      <c r="I75" s="371"/>
      <c r="J75" s="3"/>
      <c r="K75" s="3"/>
      <c r="L75" s="247"/>
      <c r="M75" s="247"/>
    </row>
    <row r="76" spans="1:13" s="14" customFormat="1" ht="11.25">
      <c r="A76" s="3"/>
      <c r="B76" s="281"/>
      <c r="C76" s="3"/>
      <c r="D76" s="3"/>
      <c r="E76" s="281"/>
      <c r="F76" s="247"/>
      <c r="G76" s="247"/>
      <c r="H76" s="71"/>
      <c r="I76" s="371"/>
      <c r="J76" s="3"/>
      <c r="K76" s="3"/>
      <c r="L76" s="247"/>
      <c r="M76" s="247"/>
    </row>
    <row r="77" spans="1:13" s="14" customFormat="1" ht="11.25">
      <c r="A77" s="3"/>
      <c r="B77" s="281"/>
      <c r="C77" s="3"/>
      <c r="D77" s="3"/>
      <c r="E77" s="281"/>
      <c r="F77" s="247"/>
      <c r="G77" s="247"/>
      <c r="H77" s="71"/>
      <c r="I77" s="371"/>
      <c r="J77" s="3"/>
      <c r="K77" s="3"/>
      <c r="L77" s="247"/>
      <c r="M77" s="247"/>
    </row>
    <row r="78" spans="1:13" s="14" customFormat="1" ht="11.25">
      <c r="A78" s="3"/>
      <c r="B78" s="281"/>
      <c r="C78" s="3"/>
      <c r="D78" s="3"/>
      <c r="E78" s="281"/>
      <c r="F78" s="247"/>
      <c r="G78" s="247"/>
      <c r="H78" s="71"/>
      <c r="I78" s="371"/>
      <c r="J78" s="3"/>
      <c r="K78" s="3"/>
      <c r="L78" s="247"/>
      <c r="M78" s="247"/>
    </row>
    <row r="79" spans="1:13" s="14" customFormat="1" ht="11.25">
      <c r="A79" s="3"/>
      <c r="B79" s="281"/>
      <c r="C79" s="3"/>
      <c r="D79" s="3"/>
      <c r="E79" s="281"/>
      <c r="F79" s="247"/>
      <c r="G79" s="247"/>
      <c r="H79" s="71"/>
      <c r="I79" s="371"/>
      <c r="J79" s="3"/>
      <c r="K79" s="3"/>
      <c r="L79" s="247"/>
      <c r="M79" s="247"/>
    </row>
    <row r="80" spans="1:13" s="14" customFormat="1" ht="11.25">
      <c r="A80" s="3"/>
      <c r="B80" s="281"/>
      <c r="C80" s="3"/>
      <c r="D80" s="3"/>
      <c r="E80" s="281"/>
      <c r="F80" s="247"/>
      <c r="G80" s="247"/>
      <c r="H80" s="71"/>
      <c r="I80" s="371"/>
      <c r="J80" s="3"/>
      <c r="K80" s="3"/>
      <c r="L80" s="247"/>
      <c r="M80" s="247"/>
    </row>
  </sheetData>
  <printOptions horizontalCentered="1" verticalCentered="1"/>
  <pageMargins left="0.1968503937007874" right="0.1968503937007874" top="0.984251968503937" bottom="0.984251968503937" header="0.5118110236220472" footer="0.5118110236220472"/>
  <pageSetup firstPageNumber="52" useFirstPageNumber="1" fitToHeight="1" fitToWidth="1" horizontalDpi="300" verticalDpi="300" orientation="landscape" paperSize="9" scale="93" r:id="rId1"/>
  <headerFooter alignWithMargins="0">
    <oddHeader>&amp;CTabella N.I.1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108"/>
  <sheetViews>
    <sheetView showGridLines="0" zoomScale="120" zoomScaleNormal="120" workbookViewId="0" topLeftCell="A79">
      <selection activeCell="C93" sqref="A1:C93"/>
    </sheetView>
  </sheetViews>
  <sheetFormatPr defaultColWidth="9.140625" defaultRowHeight="12.75"/>
  <cols>
    <col min="1" max="1" width="69.8515625" style="307" customWidth="1"/>
    <col min="2" max="2" width="16.00390625" style="303" customWidth="1"/>
    <col min="3" max="3" width="16.00390625" style="629" customWidth="1"/>
    <col min="4" max="4" width="13.8515625" style="189" customWidth="1"/>
    <col min="5" max="5" width="19.7109375" style="86" customWidth="1"/>
    <col min="6" max="6" width="9.140625" style="86" customWidth="1"/>
    <col min="7" max="7" width="9.421875" style="86" customWidth="1"/>
    <col min="8" max="8" width="9.140625" style="86" customWidth="1"/>
    <col min="9" max="9" width="11.28125" style="86" customWidth="1"/>
    <col min="10" max="16384" width="9.140625" style="86" customWidth="1"/>
  </cols>
  <sheetData>
    <row r="1" ht="11.25">
      <c r="A1" s="727" t="s">
        <v>113</v>
      </c>
    </row>
    <row r="2" spans="1:3" ht="12.75" customHeight="1" thickBot="1">
      <c r="A2" s="789"/>
      <c r="B2" s="789"/>
      <c r="C2" s="789"/>
    </row>
    <row r="3" spans="1:3" ht="11.25">
      <c r="A3" s="308"/>
      <c r="B3" s="304"/>
      <c r="C3" s="305"/>
    </row>
    <row r="4" spans="1:4" s="186" customFormat="1" ht="12.75">
      <c r="A4" s="598" t="s">
        <v>229</v>
      </c>
      <c r="B4" s="599" t="s">
        <v>368</v>
      </c>
      <c r="C4" s="600" t="s">
        <v>23</v>
      </c>
      <c r="D4" s="383"/>
    </row>
    <row r="5" spans="1:3" ht="12.75">
      <c r="A5" s="597" t="s">
        <v>458</v>
      </c>
      <c r="B5" s="603"/>
      <c r="C5" s="309"/>
    </row>
    <row r="6" spans="1:4" s="3" customFormat="1" ht="11.25">
      <c r="A6" s="601" t="s">
        <v>459</v>
      </c>
      <c r="B6" s="604"/>
      <c r="C6" s="309"/>
      <c r="D6" s="264"/>
    </row>
    <row r="7" spans="1:4" s="302" customFormat="1" ht="11.25">
      <c r="A7" s="265" t="s">
        <v>721</v>
      </c>
      <c r="B7" s="541">
        <v>18332</v>
      </c>
      <c r="C7" s="541">
        <v>11669</v>
      </c>
      <c r="D7" s="707"/>
    </row>
    <row r="8" spans="1:4" s="302" customFormat="1" ht="12">
      <c r="A8" s="702" t="s">
        <v>860</v>
      </c>
      <c r="B8" s="539"/>
      <c r="C8" s="539"/>
      <c r="D8" s="707"/>
    </row>
    <row r="9" spans="1:5" s="302" customFormat="1" ht="11.25">
      <c r="A9" s="265" t="s">
        <v>708</v>
      </c>
      <c r="B9" s="541">
        <v>2208288</v>
      </c>
      <c r="C9" s="541"/>
      <c r="D9" s="708"/>
      <c r="E9" s="628"/>
    </row>
    <row r="10" spans="1:4" s="302" customFormat="1" ht="11.25">
      <c r="A10" s="265" t="s">
        <v>1</v>
      </c>
      <c r="B10" s="541">
        <v>1038533</v>
      </c>
      <c r="C10" s="541"/>
      <c r="D10" s="708"/>
    </row>
    <row r="11" spans="1:4" s="302" customFormat="1" ht="11.25">
      <c r="A11" s="702" t="s">
        <v>2</v>
      </c>
      <c r="B11" s="541">
        <v>229</v>
      </c>
      <c r="C11" s="541"/>
      <c r="D11" s="708"/>
    </row>
    <row r="12" spans="1:4" s="302" customFormat="1" ht="11.25">
      <c r="A12" s="265" t="s">
        <v>3</v>
      </c>
      <c r="B12" s="541"/>
      <c r="C12" s="541"/>
      <c r="D12" s="708"/>
    </row>
    <row r="13" spans="1:4" s="302" customFormat="1" ht="11.25">
      <c r="A13" s="265" t="s">
        <v>775</v>
      </c>
      <c r="B13" s="541">
        <v>1460</v>
      </c>
      <c r="C13" s="541">
        <v>2860</v>
      </c>
      <c r="D13" s="707"/>
    </row>
    <row r="14" spans="1:3" ht="11.25">
      <c r="A14" s="265" t="s">
        <v>659</v>
      </c>
      <c r="B14" s="541">
        <v>25699</v>
      </c>
      <c r="C14" s="541">
        <v>31187</v>
      </c>
    </row>
    <row r="15" spans="1:4" s="302" customFormat="1" ht="11.25">
      <c r="A15" s="265" t="s">
        <v>4</v>
      </c>
      <c r="B15" s="541">
        <v>90306</v>
      </c>
      <c r="C15" s="541">
        <v>4732</v>
      </c>
      <c r="D15" s="707"/>
    </row>
    <row r="16" spans="1:3" ht="11.25">
      <c r="A16" s="265" t="s">
        <v>843</v>
      </c>
      <c r="B16" s="309">
        <v>9563</v>
      </c>
      <c r="C16" s="309">
        <v>4824</v>
      </c>
    </row>
    <row r="17" spans="1:3" ht="11.25">
      <c r="A17" s="265"/>
      <c r="B17" s="309"/>
      <c r="C17" s="309">
        <v>4981</v>
      </c>
    </row>
    <row r="18" spans="1:4" s="302" customFormat="1" ht="11.25">
      <c r="A18" s="265" t="s">
        <v>135</v>
      </c>
      <c r="B18" s="309">
        <v>308</v>
      </c>
      <c r="C18" s="309"/>
      <c r="D18" s="707"/>
    </row>
    <row r="19" spans="1:4" s="302" customFormat="1" ht="11.25">
      <c r="A19" s="265" t="s">
        <v>34</v>
      </c>
      <c r="B19" s="541">
        <f>48574-308</f>
        <v>48266</v>
      </c>
      <c r="C19" s="541">
        <v>62675</v>
      </c>
      <c r="D19" s="707"/>
    </row>
    <row r="20" spans="1:4" s="302" customFormat="1" ht="11.25">
      <c r="A20" s="702" t="s">
        <v>660</v>
      </c>
      <c r="B20" s="541"/>
      <c r="C20" s="541"/>
      <c r="D20" s="708"/>
    </row>
    <row r="21" spans="1:4" s="302" customFormat="1" ht="12">
      <c r="A21" s="265" t="s">
        <v>772</v>
      </c>
      <c r="B21" s="539"/>
      <c r="C21" s="539"/>
      <c r="D21" s="709"/>
    </row>
    <row r="22" spans="1:4" s="302" customFormat="1" ht="11.25">
      <c r="A22" s="265" t="s">
        <v>723</v>
      </c>
      <c r="B22" s="309">
        <v>73068</v>
      </c>
      <c r="C22" s="309">
        <v>87901</v>
      </c>
      <c r="D22" s="709"/>
    </row>
    <row r="23" spans="1:4" s="302" customFormat="1" ht="11.25">
      <c r="A23" s="265" t="s">
        <v>722</v>
      </c>
      <c r="B23" s="309">
        <v>186641</v>
      </c>
      <c r="C23" s="309">
        <v>95169</v>
      </c>
      <c r="D23" s="707"/>
    </row>
    <row r="24" spans="1:4" s="302" customFormat="1" ht="22.5">
      <c r="A24" s="703" t="s">
        <v>126</v>
      </c>
      <c r="B24" s="309"/>
      <c r="C24" s="309">
        <v>961954</v>
      </c>
      <c r="D24" s="707"/>
    </row>
    <row r="25" spans="1:4" s="302" customFormat="1" ht="11.25">
      <c r="A25" s="265" t="s">
        <v>5</v>
      </c>
      <c r="B25" s="309">
        <v>128448</v>
      </c>
      <c r="C25" s="309"/>
      <c r="D25" s="710"/>
    </row>
    <row r="26" spans="1:4" s="302" customFormat="1" ht="11.25">
      <c r="A26" s="265" t="s">
        <v>38</v>
      </c>
      <c r="B26" s="309"/>
      <c r="C26" s="309">
        <v>107379</v>
      </c>
      <c r="D26" s="710"/>
    </row>
    <row r="27" spans="1:4" s="302" customFormat="1" ht="11.25">
      <c r="A27" s="704" t="s">
        <v>39</v>
      </c>
      <c r="B27" s="309"/>
      <c r="C27" s="309">
        <v>85362</v>
      </c>
      <c r="D27" s="707"/>
    </row>
    <row r="28" spans="1:4" s="302" customFormat="1" ht="22.5">
      <c r="A28" s="704" t="s">
        <v>41</v>
      </c>
      <c r="B28" s="309"/>
      <c r="C28" s="309">
        <v>61706</v>
      </c>
      <c r="D28" s="707"/>
    </row>
    <row r="29" spans="1:4" s="302" customFormat="1" ht="11.25">
      <c r="A29" s="704" t="s">
        <v>40</v>
      </c>
      <c r="B29" s="309"/>
      <c r="C29" s="309">
        <v>45000</v>
      </c>
      <c r="D29" s="707"/>
    </row>
    <row r="30" spans="1:4" s="302" customFormat="1" ht="11.25">
      <c r="A30" s="704" t="s">
        <v>42</v>
      </c>
      <c r="B30" s="309"/>
      <c r="C30" s="309">
        <v>151098</v>
      </c>
      <c r="D30" s="707"/>
    </row>
    <row r="31" spans="1:4" s="302" customFormat="1" ht="11.25">
      <c r="A31" s="265" t="s">
        <v>776</v>
      </c>
      <c r="B31" s="309"/>
      <c r="C31" s="309"/>
      <c r="D31" s="707"/>
    </row>
    <row r="32" spans="1:3" ht="11.25">
      <c r="A32" s="265" t="s">
        <v>660</v>
      </c>
      <c r="B32" s="309">
        <v>24640</v>
      </c>
      <c r="C32" s="309">
        <v>20212</v>
      </c>
    </row>
    <row r="33" spans="1:3" ht="11.25">
      <c r="A33" s="265" t="s">
        <v>136</v>
      </c>
      <c r="B33" s="309"/>
      <c r="C33" s="309">
        <v>19728</v>
      </c>
    </row>
    <row r="34" spans="1:3" ht="11.25">
      <c r="A34" s="265" t="s">
        <v>631</v>
      </c>
      <c r="B34" s="309">
        <f>13+194</f>
        <v>207</v>
      </c>
      <c r="C34" s="309">
        <v>25</v>
      </c>
    </row>
    <row r="35" spans="1:3" ht="11.25">
      <c r="A35" s="265" t="s">
        <v>460</v>
      </c>
      <c r="B35" s="309"/>
      <c r="C35" s="309"/>
    </row>
    <row r="36" spans="1:3" ht="11.25">
      <c r="A36" s="705" t="s">
        <v>773</v>
      </c>
      <c r="B36" s="215"/>
      <c r="C36" s="309"/>
    </row>
    <row r="37" spans="1:3" ht="11.25">
      <c r="A37" s="705"/>
      <c r="B37" s="215"/>
      <c r="C37" s="309">
        <v>29</v>
      </c>
    </row>
    <row r="38" spans="1:3" ht="11.25">
      <c r="A38" s="265" t="s">
        <v>678</v>
      </c>
      <c r="B38" s="215">
        <f>476903-118266-6570</f>
        <v>352067</v>
      </c>
      <c r="C38" s="309"/>
    </row>
    <row r="39" spans="1:3" ht="11.25">
      <c r="A39" s="265" t="s">
        <v>719</v>
      </c>
      <c r="B39" s="215">
        <v>18266</v>
      </c>
      <c r="C39" s="309">
        <v>612007</v>
      </c>
    </row>
    <row r="40" spans="1:3" ht="11.25">
      <c r="A40" s="265" t="s">
        <v>692</v>
      </c>
      <c r="B40" s="215">
        <v>6570</v>
      </c>
      <c r="C40" s="309">
        <v>5119</v>
      </c>
    </row>
    <row r="41" spans="1:3" ht="11.25">
      <c r="A41" s="265" t="s">
        <v>679</v>
      </c>
      <c r="B41" s="309">
        <f>-53419-181680+345457</f>
        <v>110358</v>
      </c>
      <c r="C41" s="309">
        <v>446109</v>
      </c>
    </row>
    <row r="42" spans="1:3" ht="11.25">
      <c r="A42" s="265" t="s">
        <v>680</v>
      </c>
      <c r="B42" s="309">
        <v>6543</v>
      </c>
      <c r="C42" s="309">
        <v>37</v>
      </c>
    </row>
    <row r="43" spans="1:3" ht="11.25">
      <c r="A43" s="265" t="s">
        <v>720</v>
      </c>
      <c r="B43" s="309">
        <v>8041</v>
      </c>
      <c r="C43" s="309">
        <v>644306</v>
      </c>
    </row>
    <row r="44" spans="1:3" ht="11.25">
      <c r="A44" s="265" t="s">
        <v>746</v>
      </c>
      <c r="B44" s="309"/>
      <c r="C44" s="309">
        <v>20383</v>
      </c>
    </row>
    <row r="45" spans="1:3" ht="11.25">
      <c r="A45" s="265"/>
      <c r="B45" s="309"/>
      <c r="C45" s="309"/>
    </row>
    <row r="46" spans="1:3" ht="11.25">
      <c r="A46" s="702" t="s">
        <v>6</v>
      </c>
      <c r="B46" s="309"/>
      <c r="C46" s="309"/>
    </row>
    <row r="47" spans="1:3" ht="11.25">
      <c r="A47" s="706" t="s">
        <v>88</v>
      </c>
      <c r="B47" s="309">
        <v>53539</v>
      </c>
      <c r="C47" s="309">
        <v>1605432</v>
      </c>
    </row>
    <row r="48" spans="1:3" ht="11.25">
      <c r="A48" s="706" t="s">
        <v>8</v>
      </c>
      <c r="B48" s="309">
        <v>24728</v>
      </c>
      <c r="C48" s="309"/>
    </row>
    <row r="49" spans="1:3" ht="11.25">
      <c r="A49" s="706" t="s">
        <v>7</v>
      </c>
      <c r="B49" s="309">
        <f>222133-37000</f>
        <v>185133</v>
      </c>
      <c r="C49" s="309">
        <v>13407</v>
      </c>
    </row>
    <row r="50" spans="1:3" ht="11.25">
      <c r="A50" s="265" t="s">
        <v>682</v>
      </c>
      <c r="B50" s="309">
        <v>37000</v>
      </c>
      <c r="C50" s="309">
        <v>556931</v>
      </c>
    </row>
    <row r="51" spans="1:3" ht="11.25">
      <c r="A51" s="706" t="s">
        <v>87</v>
      </c>
      <c r="B51" s="309"/>
      <c r="C51" s="309">
        <v>30815</v>
      </c>
    </row>
    <row r="52" spans="1:3" ht="10.5" customHeight="1">
      <c r="A52" s="265" t="s">
        <v>151</v>
      </c>
      <c r="B52" s="309">
        <v>-3</v>
      </c>
      <c r="C52" s="309">
        <v>2</v>
      </c>
    </row>
    <row r="53" spans="1:3" ht="12.75">
      <c r="A53" s="542" t="s">
        <v>461</v>
      </c>
      <c r="B53" s="309"/>
      <c r="C53" s="309"/>
    </row>
    <row r="54" spans="1:4" s="3" customFormat="1" ht="11.25">
      <c r="A54" s="601" t="s">
        <v>462</v>
      </c>
      <c r="B54" s="215"/>
      <c r="C54" s="309"/>
      <c r="D54" s="264"/>
    </row>
    <row r="55" spans="1:4" s="3" customFormat="1" ht="11.25">
      <c r="A55" s="265" t="s">
        <v>721</v>
      </c>
      <c r="B55" s="215">
        <v>-31266</v>
      </c>
      <c r="C55" s="309">
        <v>-11782</v>
      </c>
      <c r="D55" s="264"/>
    </row>
    <row r="56" spans="1:4" s="3" customFormat="1" ht="11.25">
      <c r="A56" s="265" t="s">
        <v>861</v>
      </c>
      <c r="B56" s="309">
        <v>0</v>
      </c>
      <c r="C56" s="309"/>
      <c r="D56" s="264"/>
    </row>
    <row r="57" spans="1:4" s="3" customFormat="1" ht="11.25">
      <c r="A57" s="265" t="s">
        <v>0</v>
      </c>
      <c r="B57" s="309">
        <v>-61060</v>
      </c>
      <c r="C57" s="309"/>
      <c r="D57" s="264"/>
    </row>
    <row r="58" spans="1:4" s="3" customFormat="1" ht="11.25">
      <c r="A58" s="265" t="s">
        <v>693</v>
      </c>
      <c r="B58" s="215">
        <v>-432</v>
      </c>
      <c r="C58" s="309"/>
      <c r="D58" s="264"/>
    </row>
    <row r="59" spans="1:4" s="3" customFormat="1" ht="11.25">
      <c r="A59" s="265" t="s">
        <v>116</v>
      </c>
      <c r="B59" s="215"/>
      <c r="C59" s="309">
        <v>-16998</v>
      </c>
      <c r="D59" s="264"/>
    </row>
    <row r="60" spans="1:4" s="3" customFormat="1" ht="11.25">
      <c r="A60" s="265" t="s">
        <v>117</v>
      </c>
      <c r="B60" s="215"/>
      <c r="C60" s="309">
        <v>-139</v>
      </c>
      <c r="D60" s="264"/>
    </row>
    <row r="61" spans="1:3" s="264" customFormat="1" ht="11.25">
      <c r="A61" s="265" t="s">
        <v>661</v>
      </c>
      <c r="B61" s="309">
        <v>-19376</v>
      </c>
      <c r="C61" s="309">
        <v>-417</v>
      </c>
    </row>
    <row r="62" spans="1:3" s="264" customFormat="1" ht="11.25">
      <c r="A62" s="265" t="s">
        <v>749</v>
      </c>
      <c r="B62" s="309">
        <v>-36391</v>
      </c>
      <c r="C62" s="309">
        <v>-961954</v>
      </c>
    </row>
    <row r="63" spans="1:4" s="3" customFormat="1" ht="11.25">
      <c r="A63" s="265" t="s">
        <v>724</v>
      </c>
      <c r="B63" s="309">
        <v>0</v>
      </c>
      <c r="C63" s="309">
        <v>-3944</v>
      </c>
      <c r="D63" s="264"/>
    </row>
    <row r="64" spans="1:4" s="3" customFormat="1" ht="11.25">
      <c r="A64" s="265" t="s">
        <v>118</v>
      </c>
      <c r="B64" s="309"/>
      <c r="C64" s="309">
        <v>-951</v>
      </c>
      <c r="D64" s="264"/>
    </row>
    <row r="65" spans="1:4" s="3" customFormat="1" ht="11.25" customHeight="1">
      <c r="A65" s="702" t="s">
        <v>192</v>
      </c>
      <c r="B65" s="215"/>
      <c r="C65" s="309"/>
      <c r="D65" s="264"/>
    </row>
    <row r="66" spans="1:4" s="3" customFormat="1" ht="11.25" customHeight="1">
      <c r="A66" s="265" t="s">
        <v>725</v>
      </c>
      <c r="B66" s="215">
        <v>-20203</v>
      </c>
      <c r="C66" s="309">
        <v>-77138</v>
      </c>
      <c r="D66" s="264"/>
    </row>
    <row r="67" spans="1:4" s="3" customFormat="1" ht="11.25" customHeight="1">
      <c r="A67" s="265" t="s">
        <v>777</v>
      </c>
      <c r="B67" s="215">
        <v>-2563</v>
      </c>
      <c r="C67" s="309">
        <v>-848</v>
      </c>
      <c r="D67" s="264"/>
    </row>
    <row r="68" spans="1:4" s="3" customFormat="1" ht="11.25" customHeight="1">
      <c r="A68" s="265"/>
      <c r="B68" s="215"/>
      <c r="C68" s="309"/>
      <c r="D68" s="264"/>
    </row>
    <row r="69" spans="1:4" s="3" customFormat="1" ht="11.25" customHeight="1">
      <c r="A69" s="702" t="s">
        <v>774</v>
      </c>
      <c r="B69" s="215"/>
      <c r="C69" s="309"/>
      <c r="D69" s="325"/>
    </row>
    <row r="70" spans="1:4" s="264" customFormat="1" ht="11.25">
      <c r="A70" s="265" t="s">
        <v>726</v>
      </c>
      <c r="B70" s="309">
        <v>-6000</v>
      </c>
      <c r="C70" s="309"/>
      <c r="D70" s="629"/>
    </row>
    <row r="71" spans="1:5" s="358" customFormat="1" ht="11.25">
      <c r="A71" s="707" t="s">
        <v>132</v>
      </c>
      <c r="B71" s="309">
        <v>-4619</v>
      </c>
      <c r="C71" s="309"/>
      <c r="D71" s="630"/>
      <c r="E71" s="632"/>
    </row>
    <row r="72" spans="1:4" s="3" customFormat="1" ht="11.25" customHeight="1">
      <c r="A72" s="265" t="s">
        <v>647</v>
      </c>
      <c r="B72" s="215">
        <v>-2200</v>
      </c>
      <c r="C72" s="309"/>
      <c r="D72" s="629"/>
    </row>
    <row r="73" spans="1:5" s="3" customFormat="1" ht="11.25" customHeight="1">
      <c r="A73" s="265" t="s">
        <v>129</v>
      </c>
      <c r="B73" s="215">
        <v>-117752</v>
      </c>
      <c r="C73" s="309">
        <v>-103029</v>
      </c>
      <c r="D73" s="264"/>
      <c r="E73" s="239"/>
    </row>
    <row r="74" spans="1:4" s="3" customFormat="1" ht="11.25" customHeight="1">
      <c r="A74" s="265" t="s">
        <v>845</v>
      </c>
      <c r="B74" s="215"/>
      <c r="C74" s="309"/>
      <c r="D74" s="264"/>
    </row>
    <row r="75" spans="1:4" s="3" customFormat="1" ht="11.25" customHeight="1">
      <c r="A75" s="265" t="s">
        <v>846</v>
      </c>
      <c r="B75" s="215"/>
      <c r="C75" s="309"/>
      <c r="D75" s="264"/>
    </row>
    <row r="76" spans="1:3" s="264" customFormat="1" ht="11.25" customHeight="1">
      <c r="A76" s="265" t="s">
        <v>847</v>
      </c>
      <c r="B76" s="309"/>
      <c r="C76" s="309"/>
    </row>
    <row r="77" spans="1:4" s="3" customFormat="1" ht="11.25" customHeight="1">
      <c r="A77" s="265" t="s">
        <v>844</v>
      </c>
      <c r="B77" s="215"/>
      <c r="C77" s="309"/>
      <c r="D77" s="264"/>
    </row>
    <row r="78" spans="1:4" s="3" customFormat="1" ht="11.25" customHeight="1">
      <c r="A78" s="265" t="s">
        <v>133</v>
      </c>
      <c r="B78" s="215">
        <v>-18261</v>
      </c>
      <c r="C78" s="309">
        <v>-7563</v>
      </c>
      <c r="D78" s="264"/>
    </row>
    <row r="79" spans="1:4" s="3" customFormat="1" ht="11.25" customHeight="1">
      <c r="A79" s="265" t="s">
        <v>130</v>
      </c>
      <c r="B79" s="215">
        <v>-10487</v>
      </c>
      <c r="C79" s="309"/>
      <c r="D79" s="264"/>
    </row>
    <row r="80" spans="1:4" s="3" customFormat="1" ht="11.25" customHeight="1">
      <c r="A80" s="265" t="s">
        <v>18</v>
      </c>
      <c r="B80" s="215">
        <v>-27000</v>
      </c>
      <c r="C80" s="309"/>
      <c r="D80" s="264"/>
    </row>
    <row r="81" spans="1:4" s="3" customFormat="1" ht="11.25" customHeight="1">
      <c r="A81" s="265" t="s">
        <v>43</v>
      </c>
      <c r="B81" s="215">
        <v>-76309</v>
      </c>
      <c r="C81" s="309">
        <v>-11384</v>
      </c>
      <c r="D81" s="264"/>
    </row>
    <row r="82" spans="1:4" s="3" customFormat="1" ht="11.25" customHeight="1">
      <c r="A82" s="265" t="s">
        <v>662</v>
      </c>
      <c r="B82" s="309">
        <f>-48949+27</f>
        <v>-48922</v>
      </c>
      <c r="C82" s="309">
        <v>-132977</v>
      </c>
      <c r="D82" s="629"/>
    </row>
    <row r="83" spans="1:4" s="3" customFormat="1" ht="18.75" customHeight="1">
      <c r="A83" s="265" t="s">
        <v>630</v>
      </c>
      <c r="B83" s="215">
        <f>-280-79+2</f>
        <v>-357</v>
      </c>
      <c r="C83" s="309">
        <v>-384</v>
      </c>
      <c r="D83" s="264"/>
    </row>
    <row r="84" spans="1:3" ht="12.75">
      <c r="A84" s="602" t="s">
        <v>576</v>
      </c>
      <c r="B84" s="215"/>
      <c r="C84" s="309"/>
    </row>
    <row r="85" spans="1:3" ht="11.25">
      <c r="A85" s="265" t="s">
        <v>747</v>
      </c>
      <c r="B85" s="215">
        <v>-23498</v>
      </c>
      <c r="C85" s="309"/>
    </row>
    <row r="86" spans="1:3" ht="22.5">
      <c r="A86" s="704" t="s">
        <v>681</v>
      </c>
      <c r="B86" s="215">
        <v>-2203596</v>
      </c>
      <c r="C86" s="309"/>
    </row>
    <row r="87" spans="1:3" ht="11.25">
      <c r="A87" s="704" t="s">
        <v>812</v>
      </c>
      <c r="B87" s="215">
        <v>-17</v>
      </c>
      <c r="C87" s="309"/>
    </row>
    <row r="88" spans="1:3" ht="11.25">
      <c r="A88" s="265" t="s">
        <v>716</v>
      </c>
      <c r="B88" s="215"/>
      <c r="C88" s="309"/>
    </row>
    <row r="89" spans="1:3" ht="11.25">
      <c r="A89" s="265" t="s">
        <v>717</v>
      </c>
      <c r="B89" s="215"/>
      <c r="C89" s="309"/>
    </row>
    <row r="90" spans="1:3" ht="11.25">
      <c r="A90" s="265" t="s">
        <v>718</v>
      </c>
      <c r="B90" s="215">
        <f>-970-15534</f>
        <v>-16504</v>
      </c>
      <c r="C90" s="309">
        <v>-867</v>
      </c>
    </row>
    <row r="91" spans="1:3" ht="11.25">
      <c r="A91" s="706" t="s">
        <v>748</v>
      </c>
      <c r="B91" s="215"/>
      <c r="C91" s="309"/>
    </row>
    <row r="92" spans="1:3" ht="11.25" customHeight="1">
      <c r="A92" s="265" t="s">
        <v>463</v>
      </c>
      <c r="B92" s="604"/>
      <c r="C92" s="309"/>
    </row>
    <row r="93" spans="1:3" ht="12" thickBot="1">
      <c r="A93" s="259" t="s">
        <v>348</v>
      </c>
      <c r="B93" s="306">
        <f>SUM(B5:B92)</f>
        <v>1929417</v>
      </c>
      <c r="C93" s="711">
        <f>SUM(C5:C92)</f>
        <v>4362664</v>
      </c>
    </row>
    <row r="95" spans="1:4" ht="12.75">
      <c r="A95" s="1"/>
      <c r="D95" s="298"/>
    </row>
    <row r="96" spans="1:4" ht="12.75">
      <c r="A96" s="1"/>
      <c r="D96" s="298"/>
    </row>
    <row r="97" spans="1:4" ht="12.75">
      <c r="A97" s="1"/>
      <c r="D97" s="298"/>
    </row>
    <row r="98" spans="1:4" ht="12.75">
      <c r="A98" s="1"/>
      <c r="D98" s="298"/>
    </row>
    <row r="99" spans="1:4" ht="12.75">
      <c r="A99" s="1"/>
      <c r="D99" s="298"/>
    </row>
    <row r="100" spans="1:4" ht="12.75">
      <c r="A100" s="1"/>
      <c r="D100" s="298"/>
    </row>
    <row r="101" spans="1:4" ht="12.75">
      <c r="A101" s="1"/>
      <c r="D101" s="298"/>
    </row>
    <row r="102" spans="1:4" ht="12.75">
      <c r="A102" s="1"/>
      <c r="D102" s="298"/>
    </row>
    <row r="103" spans="1:4" ht="12.75">
      <c r="A103" s="1"/>
      <c r="D103" s="298"/>
    </row>
    <row r="104" spans="1:4" ht="12.75">
      <c r="A104" s="1"/>
      <c r="D104" s="298"/>
    </row>
    <row r="105" spans="1:4" ht="12.75">
      <c r="A105" s="1"/>
      <c r="D105" s="298"/>
    </row>
    <row r="106" spans="1:4" ht="12.75">
      <c r="A106" s="1"/>
      <c r="D106" s="298"/>
    </row>
    <row r="107" spans="1:4" ht="12.75">
      <c r="A107" s="1"/>
      <c r="D107" s="298"/>
    </row>
    <row r="108" spans="1:4" ht="12.75">
      <c r="A108" s="1"/>
      <c r="D108" s="298"/>
    </row>
  </sheetData>
  <mergeCells count="1">
    <mergeCell ref="A2:C2"/>
  </mergeCells>
  <printOptions horizontalCentered="1" verticalCentered="1"/>
  <pageMargins left="0.2362204724409449" right="0.2362204724409449" top="0.5" bottom="0.34" header="0.3" footer="0.19"/>
  <pageSetup firstPageNumber="67" useFirstPageNumber="1" horizontalDpi="300" verticalDpi="300" orientation="portrait" paperSize="8" scale="110" r:id="rId1"/>
  <headerFooter alignWithMargins="0">
    <oddHeader>&amp;CTabella N.I.17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E38"/>
  <sheetViews>
    <sheetView showGridLines="0" workbookViewId="0" topLeftCell="A5">
      <selection activeCell="A2" sqref="A2:E35"/>
    </sheetView>
  </sheetViews>
  <sheetFormatPr defaultColWidth="9.140625" defaultRowHeight="12.75"/>
  <cols>
    <col min="1" max="1" width="39.7109375" style="3" customWidth="1"/>
    <col min="2" max="3" width="13.140625" style="3" customWidth="1"/>
    <col min="4" max="4" width="10.7109375" style="3" customWidth="1"/>
    <col min="5" max="5" width="14.421875" style="550" customWidth="1"/>
    <col min="6" max="8" width="13.7109375" style="3" customWidth="1"/>
    <col min="9" max="11" width="9.140625" style="3" customWidth="1"/>
    <col min="12" max="12" width="9.421875" style="3" customWidth="1"/>
    <col min="13" max="13" width="9.140625" style="3" customWidth="1"/>
    <col min="14" max="14" width="11.28125" style="3" customWidth="1"/>
    <col min="15" max="16384" width="9.140625" style="3" customWidth="1"/>
  </cols>
  <sheetData>
    <row r="1" ht="12" thickBot="1"/>
    <row r="2" spans="1:5" ht="12.75" thickBot="1">
      <c r="A2" s="728" t="s">
        <v>114</v>
      </c>
      <c r="B2" s="8"/>
      <c r="C2" s="8"/>
      <c r="D2" s="8"/>
      <c r="E2" s="551"/>
    </row>
    <row r="3" spans="1:5" ht="12.75" customHeight="1">
      <c r="A3" s="792" t="s">
        <v>229</v>
      </c>
      <c r="B3" s="794" t="s">
        <v>849</v>
      </c>
      <c r="C3" s="794" t="s">
        <v>119</v>
      </c>
      <c r="D3" s="794" t="s">
        <v>427</v>
      </c>
      <c r="E3" s="790" t="s">
        <v>120</v>
      </c>
    </row>
    <row r="4" spans="1:5" ht="22.5" customHeight="1">
      <c r="A4" s="793"/>
      <c r="B4" s="795"/>
      <c r="C4" s="795"/>
      <c r="D4" s="795"/>
      <c r="E4" s="791"/>
    </row>
    <row r="5" spans="1:5" ht="11.25">
      <c r="A5" s="41"/>
      <c r="B5" s="202"/>
      <c r="C5" s="202"/>
      <c r="D5" s="9"/>
      <c r="E5" s="552"/>
    </row>
    <row r="6" spans="1:5" ht="11.25">
      <c r="A6" s="196" t="s">
        <v>446</v>
      </c>
      <c r="B6" s="198">
        <v>73</v>
      </c>
      <c r="C6" s="198">
        <v>70</v>
      </c>
      <c r="D6" s="198">
        <f>+C6-B6</f>
        <v>-3</v>
      </c>
      <c r="E6" s="653">
        <v>70.75</v>
      </c>
    </row>
    <row r="7" spans="1:5" ht="11.25">
      <c r="A7" s="196" t="s">
        <v>431</v>
      </c>
      <c r="B7" s="198">
        <v>61</v>
      </c>
      <c r="C7" s="198">
        <v>61</v>
      </c>
      <c r="D7" s="198">
        <f>+C7-B7</f>
        <v>0</v>
      </c>
      <c r="E7" s="654">
        <v>61</v>
      </c>
    </row>
    <row r="8" spans="1:5" ht="11.25">
      <c r="A8" s="196" t="s">
        <v>602</v>
      </c>
      <c r="B8" s="198">
        <v>2</v>
      </c>
      <c r="C8" s="198">
        <v>2</v>
      </c>
      <c r="D8" s="198">
        <f>+C8-B8</f>
        <v>0</v>
      </c>
      <c r="E8" s="654">
        <v>2</v>
      </c>
    </row>
    <row r="9" spans="1:5" ht="11.25">
      <c r="A9" s="196" t="s">
        <v>432</v>
      </c>
      <c r="B9" s="579">
        <v>538</v>
      </c>
      <c r="C9" s="579">
        <v>526</v>
      </c>
      <c r="D9" s="579">
        <f>+C9-B9</f>
        <v>-12</v>
      </c>
      <c r="E9" s="655">
        <v>530.08</v>
      </c>
    </row>
    <row r="10" spans="1:5" s="2" customFormat="1" ht="11.25">
      <c r="A10" s="64" t="s">
        <v>447</v>
      </c>
      <c r="B10" s="199">
        <f>SUM(B6:B9)</f>
        <v>674</v>
      </c>
      <c r="C10" s="199">
        <f>SUM(C6:C9)</f>
        <v>659</v>
      </c>
      <c r="D10" s="199">
        <f>SUM(D6:D9)</f>
        <v>-15</v>
      </c>
      <c r="E10" s="617">
        <f>SUM(E6:E9)</f>
        <v>663.83</v>
      </c>
    </row>
    <row r="11" spans="1:5" s="2" customFormat="1" ht="11.25">
      <c r="A11" s="64"/>
      <c r="B11" s="402"/>
      <c r="C11" s="402"/>
      <c r="D11" s="59"/>
      <c r="E11" s="553"/>
    </row>
    <row r="12" spans="1:5" ht="11.25">
      <c r="A12" s="196" t="s">
        <v>591</v>
      </c>
      <c r="B12" s="198">
        <v>1</v>
      </c>
      <c r="C12" s="198">
        <v>1</v>
      </c>
      <c r="D12" s="198">
        <f>+C12-B12</f>
        <v>0</v>
      </c>
      <c r="E12" s="615">
        <v>1</v>
      </c>
    </row>
    <row r="13" spans="1:5" ht="11.25">
      <c r="A13" s="196" t="s">
        <v>592</v>
      </c>
      <c r="B13" s="579">
        <v>1</v>
      </c>
      <c r="C13" s="579">
        <v>1</v>
      </c>
      <c r="D13" s="579">
        <f>+C13-B13</f>
        <v>0</v>
      </c>
      <c r="E13" s="616">
        <v>1</v>
      </c>
    </row>
    <row r="14" spans="1:5" s="2" customFormat="1" ht="11.25">
      <c r="A14" s="64" t="s">
        <v>448</v>
      </c>
      <c r="B14" s="199">
        <f>SUM(B12:B13)</f>
        <v>2</v>
      </c>
      <c r="C14" s="199">
        <f>SUM(C12:C13)</f>
        <v>2</v>
      </c>
      <c r="D14" s="199">
        <f>SUM(D12:D13)</f>
        <v>0</v>
      </c>
      <c r="E14" s="617">
        <v>2</v>
      </c>
    </row>
    <row r="15" spans="1:5" ht="11.25">
      <c r="A15" s="41"/>
      <c r="B15" s="198"/>
      <c r="C15" s="198"/>
      <c r="D15" s="198"/>
      <c r="E15" s="554"/>
    </row>
    <row r="16" spans="1:5" ht="11.25">
      <c r="A16" s="41" t="s">
        <v>433</v>
      </c>
      <c r="B16" s="200">
        <v>2</v>
      </c>
      <c r="C16" s="200">
        <v>2</v>
      </c>
      <c r="D16" s="198">
        <f>+C16-B16</f>
        <v>0</v>
      </c>
      <c r="E16" s="615">
        <v>2</v>
      </c>
    </row>
    <row r="17" spans="1:5" ht="11.25">
      <c r="A17" s="65" t="s">
        <v>432</v>
      </c>
      <c r="B17" s="580">
        <v>179</v>
      </c>
      <c r="C17" s="580">
        <v>171</v>
      </c>
      <c r="D17" s="579">
        <f>+C17-B17</f>
        <v>-8</v>
      </c>
      <c r="E17" s="616">
        <v>174.25</v>
      </c>
    </row>
    <row r="18" spans="1:5" s="2" customFormat="1" ht="11.25">
      <c r="A18" s="64" t="s">
        <v>449</v>
      </c>
      <c r="B18" s="201">
        <f>SUM(B16:B17)</f>
        <v>181</v>
      </c>
      <c r="C18" s="201">
        <f>SUM(C16:C17)</f>
        <v>173</v>
      </c>
      <c r="D18" s="199">
        <f>SUM(D16:D17)</f>
        <v>-8</v>
      </c>
      <c r="E18" s="617">
        <f>SUM(E16:E17)</f>
        <v>176.25</v>
      </c>
    </row>
    <row r="19" spans="1:5" ht="11.25">
      <c r="A19" s="41"/>
      <c r="B19" s="9"/>
      <c r="C19" s="9"/>
      <c r="D19" s="9"/>
      <c r="E19" s="552"/>
    </row>
    <row r="20" spans="1:5" ht="11.25">
      <c r="A20" s="41" t="s">
        <v>433</v>
      </c>
      <c r="B20" s="198">
        <v>7</v>
      </c>
      <c r="C20" s="198">
        <v>6</v>
      </c>
      <c r="D20" s="198">
        <f>+C20-B20</f>
        <v>-1</v>
      </c>
      <c r="E20" s="615">
        <v>6.58</v>
      </c>
    </row>
    <row r="21" spans="1:5" ht="11.25">
      <c r="A21" s="41" t="s">
        <v>432</v>
      </c>
      <c r="B21" s="579">
        <v>131</v>
      </c>
      <c r="C21" s="579">
        <v>126</v>
      </c>
      <c r="D21" s="579">
        <f>+C21-B21</f>
        <v>-5</v>
      </c>
      <c r="E21" s="616">
        <v>129.25</v>
      </c>
    </row>
    <row r="22" spans="1:5" s="60" customFormat="1" ht="11.25">
      <c r="A22" s="64" t="s">
        <v>450</v>
      </c>
      <c r="B22" s="201">
        <f>SUM(B20:B21)</f>
        <v>138</v>
      </c>
      <c r="C22" s="201">
        <f>SUM(C20:C21)</f>
        <v>132</v>
      </c>
      <c r="D22" s="199">
        <f>SUM(D20:D21)</f>
        <v>-6</v>
      </c>
      <c r="E22" s="617">
        <f>SUM(E20:E21)</f>
        <v>135.83</v>
      </c>
    </row>
    <row r="23" spans="1:5" ht="11.25">
      <c r="A23" s="61"/>
      <c r="B23" s="28"/>
      <c r="C23" s="28"/>
      <c r="D23" s="28"/>
      <c r="E23" s="555"/>
    </row>
    <row r="24" spans="1:5" s="2" customFormat="1" ht="10.5">
      <c r="A24" s="66" t="s">
        <v>451</v>
      </c>
      <c r="B24" s="62">
        <f>+B22+B18+B14+B10</f>
        <v>995</v>
      </c>
      <c r="C24" s="62">
        <f>+C22+C18+C14+C10</f>
        <v>966</v>
      </c>
      <c r="D24" s="62">
        <f>+D22+D18+D14+D10</f>
        <v>-29</v>
      </c>
      <c r="E24" s="618">
        <f>+E22+E18+E14+E10</f>
        <v>977.9100000000001</v>
      </c>
    </row>
    <row r="25" spans="1:5" s="2" customFormat="1" ht="10.5">
      <c r="A25" s="61"/>
      <c r="B25" s="63"/>
      <c r="C25" s="63"/>
      <c r="D25" s="63"/>
      <c r="E25" s="553"/>
    </row>
    <row r="26" spans="1:5" s="2" customFormat="1" ht="10.5">
      <c r="A26" s="61"/>
      <c r="B26" s="63"/>
      <c r="C26" s="63"/>
      <c r="D26" s="63"/>
      <c r="E26" s="553"/>
    </row>
    <row r="27" spans="1:5" s="2" customFormat="1" ht="11.25">
      <c r="A27" s="64" t="s">
        <v>455</v>
      </c>
      <c r="B27" s="63">
        <v>82</v>
      </c>
      <c r="C27" s="63">
        <v>81</v>
      </c>
      <c r="D27" s="198">
        <f>+C27-B27</f>
        <v>-1</v>
      </c>
      <c r="E27" s="619">
        <v>81.83</v>
      </c>
    </row>
    <row r="28" spans="1:5" s="2" customFormat="1" ht="10.5">
      <c r="A28" s="61"/>
      <c r="B28" s="62"/>
      <c r="C28" s="62"/>
      <c r="D28" s="62"/>
      <c r="E28" s="556"/>
    </row>
    <row r="29" spans="1:5" ht="11.25">
      <c r="A29" s="66" t="s">
        <v>434</v>
      </c>
      <c r="B29" s="62">
        <f>+B27+B24</f>
        <v>1077</v>
      </c>
      <c r="C29" s="62">
        <f>+C27+C24</f>
        <v>1047</v>
      </c>
      <c r="D29" s="62">
        <f>+D27+D24</f>
        <v>-30</v>
      </c>
      <c r="E29" s="620">
        <f>+E27+E24</f>
        <v>1059.74</v>
      </c>
    </row>
    <row r="30" spans="1:5" ht="11.25">
      <c r="A30" s="58"/>
      <c r="B30" s="63"/>
      <c r="C30" s="63"/>
      <c r="D30" s="63"/>
      <c r="E30" s="552"/>
    </row>
    <row r="31" spans="1:5" ht="11.25">
      <c r="A31" s="64" t="s">
        <v>456</v>
      </c>
      <c r="B31" s="63"/>
      <c r="C31" s="63"/>
      <c r="D31" s="198"/>
      <c r="E31" s="552"/>
    </row>
    <row r="32" spans="1:5" ht="11.25">
      <c r="A32" s="58"/>
      <c r="B32" s="63"/>
      <c r="C32" s="63"/>
      <c r="D32" s="63"/>
      <c r="E32" s="552"/>
    </row>
    <row r="33" spans="1:5" ht="11.25">
      <c r="A33" s="61" t="s">
        <v>435</v>
      </c>
      <c r="B33" s="59">
        <v>1</v>
      </c>
      <c r="C33" s="59">
        <v>1</v>
      </c>
      <c r="D33" s="59">
        <f>+C33-B33</f>
        <v>0</v>
      </c>
      <c r="E33" s="621">
        <v>1</v>
      </c>
    </row>
    <row r="34" spans="1:5" ht="11.25">
      <c r="A34" s="197"/>
      <c r="B34" s="28"/>
      <c r="C34" s="28"/>
      <c r="D34" s="28"/>
      <c r="E34" s="555"/>
    </row>
    <row r="35" spans="1:5" s="50" customFormat="1" ht="11.25" thickBot="1">
      <c r="A35" s="67" t="s">
        <v>425</v>
      </c>
      <c r="B35" s="195">
        <f>+B33+B29</f>
        <v>1078</v>
      </c>
      <c r="C35" s="195">
        <f>+C33+C29</f>
        <v>1048</v>
      </c>
      <c r="D35" s="195">
        <f>+D33+D29</f>
        <v>-30</v>
      </c>
      <c r="E35" s="622">
        <f>+E33+E29</f>
        <v>1060.74</v>
      </c>
    </row>
    <row r="36" spans="1:5" ht="11.25">
      <c r="A36" s="19"/>
      <c r="B36" s="19"/>
      <c r="C36" s="19"/>
      <c r="D36" s="19"/>
      <c r="E36" s="557"/>
    </row>
    <row r="38" s="2" customFormat="1" ht="10.5">
      <c r="E38" s="558"/>
    </row>
  </sheetData>
  <mergeCells count="5">
    <mergeCell ref="E3:E4"/>
    <mergeCell ref="A3:A4"/>
    <mergeCell ref="B3:B4"/>
    <mergeCell ref="C3:C4"/>
    <mergeCell ref="D3:D4"/>
  </mergeCells>
  <printOptions horizontalCentered="1" verticalCentered="1"/>
  <pageMargins left="0.64" right="0.3937007874015748" top="0.74" bottom="0.35" header="0.41" footer="0.16"/>
  <pageSetup firstPageNumber="68" useFirstPageNumber="1" horizontalDpi="300" verticalDpi="300" orientation="portrait" paperSize="9" r:id="rId1"/>
  <headerFooter alignWithMargins="0">
    <oddHeader>&amp;CTabella N.I.18/1</oddHeader>
  </headerFooter>
  <rowBreaks count="1" manualBreakCount="1">
    <brk id="35" max="6553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F80"/>
  <sheetViews>
    <sheetView zoomScale="120" zoomScaleNormal="120" workbookViewId="0" topLeftCell="A50">
      <selection activeCell="A1" sqref="A1:E77"/>
    </sheetView>
  </sheetViews>
  <sheetFormatPr defaultColWidth="9.140625" defaultRowHeight="12.75"/>
  <cols>
    <col min="1" max="1" width="36.8515625" style="156" customWidth="1"/>
    <col min="2" max="3" width="13.140625" style="156" customWidth="1"/>
    <col min="4" max="4" width="11.00390625" style="156" customWidth="1"/>
    <col min="5" max="5" width="11.28125" style="369" customWidth="1"/>
    <col min="6" max="8" width="13.7109375" style="156" customWidth="1"/>
    <col min="9" max="11" width="9.140625" style="156" customWidth="1"/>
    <col min="12" max="12" width="9.421875" style="156" customWidth="1"/>
    <col min="13" max="13" width="9.140625" style="156" customWidth="1"/>
    <col min="14" max="14" width="11.28125" style="156" customWidth="1"/>
    <col min="15" max="16384" width="9.140625" style="156" customWidth="1"/>
  </cols>
  <sheetData>
    <row r="1" spans="1:5" s="203" customFormat="1" ht="10.5">
      <c r="A1" s="203" t="s">
        <v>115</v>
      </c>
      <c r="E1" s="366"/>
    </row>
    <row r="2" spans="1:5" ht="12" thickBot="1">
      <c r="A2" s="205" t="s">
        <v>547</v>
      </c>
      <c r="B2" s="205"/>
      <c r="C2" s="205"/>
      <c r="D2" s="205"/>
      <c r="E2" s="367"/>
    </row>
    <row r="3" spans="1:5" ht="42">
      <c r="A3" s="659" t="s">
        <v>229</v>
      </c>
      <c r="B3" s="660" t="s">
        <v>849</v>
      </c>
      <c r="C3" s="660" t="s">
        <v>119</v>
      </c>
      <c r="D3" s="660" t="s">
        <v>427</v>
      </c>
      <c r="E3" s="661" t="s">
        <v>121</v>
      </c>
    </row>
    <row r="4" spans="1:5" ht="11.25">
      <c r="A4" s="314" t="s">
        <v>604</v>
      </c>
      <c r="B4" s="265"/>
      <c r="C4" s="265"/>
      <c r="D4" s="265"/>
      <c r="E4" s="532"/>
    </row>
    <row r="5" spans="1:5" ht="11.25">
      <c r="A5" s="315" t="s">
        <v>452</v>
      </c>
      <c r="B5" s="9">
        <v>73</v>
      </c>
      <c r="C5" s="9">
        <v>70</v>
      </c>
      <c r="D5" s="265">
        <f>+C5-B5</f>
        <v>-3</v>
      </c>
      <c r="E5" s="368">
        <v>70.75</v>
      </c>
    </row>
    <row r="6" spans="1:5" ht="11.25">
      <c r="A6" s="315" t="s">
        <v>453</v>
      </c>
      <c r="B6" s="9">
        <v>4</v>
      </c>
      <c r="C6" s="9">
        <v>4</v>
      </c>
      <c r="D6" s="265">
        <f aca="true" t="shared" si="0" ref="D6:D12">+C6-B6</f>
        <v>0</v>
      </c>
      <c r="E6" s="368">
        <v>4</v>
      </c>
    </row>
    <row r="7" spans="1:5" ht="11.25">
      <c r="A7" s="315" t="s">
        <v>454</v>
      </c>
      <c r="B7" s="9">
        <v>1</v>
      </c>
      <c r="C7" s="9">
        <v>1</v>
      </c>
      <c r="D7" s="265">
        <f t="shared" si="0"/>
        <v>0</v>
      </c>
      <c r="E7" s="368">
        <v>1</v>
      </c>
    </row>
    <row r="8" spans="1:5" ht="11.25">
      <c r="A8" s="315" t="s">
        <v>548</v>
      </c>
      <c r="B8" s="9">
        <v>1</v>
      </c>
      <c r="C8" s="9">
        <v>1</v>
      </c>
      <c r="D8" s="265">
        <f t="shared" si="0"/>
        <v>0</v>
      </c>
      <c r="E8" s="368">
        <v>1</v>
      </c>
    </row>
    <row r="9" spans="1:5" ht="11.25">
      <c r="A9" s="315" t="s">
        <v>549</v>
      </c>
      <c r="B9" s="9">
        <v>24</v>
      </c>
      <c r="C9" s="9">
        <v>24</v>
      </c>
      <c r="D9" s="265">
        <f t="shared" si="0"/>
        <v>0</v>
      </c>
      <c r="E9" s="368">
        <v>24</v>
      </c>
    </row>
    <row r="10" spans="1:5" ht="11.25">
      <c r="A10" s="315" t="s">
        <v>550</v>
      </c>
      <c r="B10" s="9"/>
      <c r="C10" s="9">
        <v>0</v>
      </c>
      <c r="D10" s="265">
        <f t="shared" si="0"/>
        <v>0</v>
      </c>
      <c r="E10" s="368">
        <v>0</v>
      </c>
    </row>
    <row r="11" spans="1:6" ht="11.25">
      <c r="A11" s="315" t="s">
        <v>551</v>
      </c>
      <c r="B11" s="9">
        <v>31</v>
      </c>
      <c r="C11" s="9">
        <v>31</v>
      </c>
      <c r="D11" s="265">
        <f t="shared" si="0"/>
        <v>0</v>
      </c>
      <c r="E11" s="368">
        <v>31</v>
      </c>
      <c r="F11" s="204"/>
    </row>
    <row r="12" spans="1:5" ht="11.25">
      <c r="A12" s="316" t="s">
        <v>602</v>
      </c>
      <c r="B12" s="28">
        <v>2</v>
      </c>
      <c r="C12" s="28">
        <v>2</v>
      </c>
      <c r="D12" s="28">
        <f t="shared" si="0"/>
        <v>0</v>
      </c>
      <c r="E12" s="533">
        <v>2</v>
      </c>
    </row>
    <row r="13" spans="1:5" s="203" customFormat="1" ht="10.5">
      <c r="A13" s="314" t="s">
        <v>603</v>
      </c>
      <c r="B13" s="650">
        <f>SUM(B5:B12)</f>
        <v>136</v>
      </c>
      <c r="C13" s="650">
        <f>SUM(C5:C12)</f>
        <v>133</v>
      </c>
      <c r="D13" s="651">
        <f>SUM(D5:D12)</f>
        <v>-3</v>
      </c>
      <c r="E13" s="652">
        <f>SUM(E5:E12)</f>
        <v>133.75</v>
      </c>
    </row>
    <row r="14" spans="1:5" ht="11.25">
      <c r="A14" s="317"/>
      <c r="B14" s="530"/>
      <c r="C14" s="530"/>
      <c r="D14" s="265"/>
      <c r="E14" s="368"/>
    </row>
    <row r="15" spans="1:5" ht="11.25">
      <c r="A15" s="314" t="s">
        <v>432</v>
      </c>
      <c r="B15" s="528"/>
      <c r="C15" s="528"/>
      <c r="D15" s="265"/>
      <c r="E15" s="368"/>
    </row>
    <row r="16" spans="1:5" ht="11.25">
      <c r="A16" s="315" t="s">
        <v>552</v>
      </c>
      <c r="B16" s="656">
        <v>36</v>
      </c>
      <c r="C16" s="656">
        <v>34</v>
      </c>
      <c r="D16" s="657">
        <f>+C16-B16</f>
        <v>-2</v>
      </c>
      <c r="E16" s="368">
        <v>34.666666666666664</v>
      </c>
    </row>
    <row r="17" spans="1:5" ht="11.25">
      <c r="A17" s="315" t="s">
        <v>553</v>
      </c>
      <c r="B17" s="656">
        <v>51</v>
      </c>
      <c r="C17" s="656">
        <v>46</v>
      </c>
      <c r="D17" s="657">
        <f aca="true" t="shared" si="1" ref="D17:D33">+C17-B17</f>
        <v>-5</v>
      </c>
      <c r="E17" s="368">
        <v>48.416666666666664</v>
      </c>
    </row>
    <row r="18" spans="1:5" ht="11.25">
      <c r="A18" s="315" t="s">
        <v>554</v>
      </c>
      <c r="B18" s="656">
        <v>13</v>
      </c>
      <c r="C18" s="656">
        <v>12</v>
      </c>
      <c r="D18" s="657">
        <f t="shared" si="1"/>
        <v>-1</v>
      </c>
      <c r="E18" s="368">
        <v>11.916666666666666</v>
      </c>
    </row>
    <row r="19" spans="1:5" ht="11.25">
      <c r="A19" s="315" t="s">
        <v>595</v>
      </c>
      <c r="B19" s="656">
        <v>3</v>
      </c>
      <c r="C19" s="656">
        <v>2</v>
      </c>
      <c r="D19" s="657">
        <f t="shared" si="1"/>
        <v>-1</v>
      </c>
      <c r="E19" s="368">
        <v>2.4166666666666665</v>
      </c>
    </row>
    <row r="20" spans="1:5" ht="11.25">
      <c r="A20" s="315" t="s">
        <v>555</v>
      </c>
      <c r="B20" s="656">
        <v>298</v>
      </c>
      <c r="C20" s="656">
        <v>300</v>
      </c>
      <c r="D20" s="657">
        <f t="shared" si="1"/>
        <v>2</v>
      </c>
      <c r="E20" s="368">
        <v>297.5833333333333</v>
      </c>
    </row>
    <row r="21" spans="1:5" ht="11.25">
      <c r="A21" s="315" t="s">
        <v>596</v>
      </c>
      <c r="B21" s="656">
        <v>2</v>
      </c>
      <c r="C21" s="656">
        <v>2</v>
      </c>
      <c r="D21" s="657">
        <f t="shared" si="1"/>
        <v>0</v>
      </c>
      <c r="E21" s="368">
        <v>2</v>
      </c>
    </row>
    <row r="22" spans="1:5" ht="11.25">
      <c r="A22" s="315" t="s">
        <v>556</v>
      </c>
      <c r="B22" s="656">
        <v>40</v>
      </c>
      <c r="C22" s="656">
        <v>40</v>
      </c>
      <c r="D22" s="657">
        <f t="shared" si="1"/>
        <v>0</v>
      </c>
      <c r="E22" s="368">
        <v>40.166666666666664</v>
      </c>
    </row>
    <row r="23" spans="1:5" ht="11.25">
      <c r="A23" s="315" t="s">
        <v>557</v>
      </c>
      <c r="B23" s="656">
        <v>6</v>
      </c>
      <c r="C23" s="656">
        <v>5</v>
      </c>
      <c r="D23" s="657">
        <f t="shared" si="1"/>
        <v>-1</v>
      </c>
      <c r="E23" s="368">
        <v>5.75</v>
      </c>
    </row>
    <row r="24" spans="1:5" ht="11.25">
      <c r="A24" s="315" t="s">
        <v>558</v>
      </c>
      <c r="B24" s="656">
        <v>45</v>
      </c>
      <c r="C24" s="656">
        <v>43</v>
      </c>
      <c r="D24" s="657">
        <f t="shared" si="1"/>
        <v>-2</v>
      </c>
      <c r="E24" s="368">
        <v>43.75</v>
      </c>
    </row>
    <row r="25" spans="1:5" ht="11.25">
      <c r="A25" s="315" t="s">
        <v>597</v>
      </c>
      <c r="B25" s="656">
        <v>16</v>
      </c>
      <c r="C25" s="656">
        <v>15</v>
      </c>
      <c r="D25" s="657">
        <f t="shared" si="1"/>
        <v>-1</v>
      </c>
      <c r="E25" s="368">
        <v>15.583333333333334</v>
      </c>
    </row>
    <row r="26" spans="1:5" ht="11.25">
      <c r="A26" s="315" t="s">
        <v>598</v>
      </c>
      <c r="B26" s="656"/>
      <c r="C26" s="656">
        <v>0</v>
      </c>
      <c r="D26" s="657">
        <f t="shared" si="1"/>
        <v>0</v>
      </c>
      <c r="E26" s="368">
        <v>0</v>
      </c>
    </row>
    <row r="27" spans="1:5" ht="11.25">
      <c r="A27" s="315" t="s">
        <v>559</v>
      </c>
      <c r="B27" s="656"/>
      <c r="C27" s="656">
        <v>0</v>
      </c>
      <c r="D27" s="657">
        <f t="shared" si="1"/>
        <v>0</v>
      </c>
      <c r="E27" s="368">
        <v>0</v>
      </c>
    </row>
    <row r="28" spans="1:5" ht="11.25">
      <c r="A28" s="315" t="s">
        <v>560</v>
      </c>
      <c r="B28" s="656">
        <v>3</v>
      </c>
      <c r="C28" s="656">
        <v>3</v>
      </c>
      <c r="D28" s="657">
        <f t="shared" si="1"/>
        <v>0</v>
      </c>
      <c r="E28" s="368">
        <v>3</v>
      </c>
    </row>
    <row r="29" spans="1:5" ht="11.25">
      <c r="A29" s="315" t="s">
        <v>778</v>
      </c>
      <c r="B29" s="656">
        <v>1</v>
      </c>
      <c r="C29" s="656">
        <v>1</v>
      </c>
      <c r="D29" s="657">
        <f t="shared" si="1"/>
        <v>0</v>
      </c>
      <c r="E29" s="368">
        <v>1</v>
      </c>
    </row>
    <row r="30" spans="1:5" ht="11.25">
      <c r="A30" s="315" t="s">
        <v>779</v>
      </c>
      <c r="B30" s="656">
        <v>4</v>
      </c>
      <c r="C30" s="656">
        <v>4</v>
      </c>
      <c r="D30" s="657">
        <f t="shared" si="1"/>
        <v>0</v>
      </c>
      <c r="E30" s="368">
        <v>4</v>
      </c>
    </row>
    <row r="31" spans="1:5" ht="11.25">
      <c r="A31" s="315" t="s">
        <v>639</v>
      </c>
      <c r="B31" s="656">
        <v>18</v>
      </c>
      <c r="C31" s="656">
        <v>17</v>
      </c>
      <c r="D31" s="657">
        <f t="shared" si="1"/>
        <v>-1</v>
      </c>
      <c r="E31" s="368">
        <v>17.83</v>
      </c>
    </row>
    <row r="32" spans="1:5" ht="11.25">
      <c r="A32" s="315" t="s">
        <v>640</v>
      </c>
      <c r="B32" s="656"/>
      <c r="C32" s="656"/>
      <c r="D32" s="657">
        <f t="shared" si="1"/>
        <v>0</v>
      </c>
      <c r="E32" s="368"/>
    </row>
    <row r="33" spans="1:5" ht="11.25">
      <c r="A33" s="315" t="s">
        <v>641</v>
      </c>
      <c r="B33" s="28">
        <v>2</v>
      </c>
      <c r="C33" s="28">
        <v>2</v>
      </c>
      <c r="D33" s="28">
        <f t="shared" si="1"/>
        <v>0</v>
      </c>
      <c r="E33" s="533">
        <v>2</v>
      </c>
    </row>
    <row r="34" spans="1:5" ht="11.25">
      <c r="A34" s="315"/>
      <c r="B34" s="656"/>
      <c r="C34" s="656"/>
      <c r="D34" s="657"/>
      <c r="E34" s="368"/>
    </row>
    <row r="35" spans="1:6" ht="12" thickBot="1">
      <c r="A35" s="314" t="s">
        <v>605</v>
      </c>
      <c r="B35" s="658">
        <f>SUM(B16:B33)</f>
        <v>538</v>
      </c>
      <c r="C35" s="357">
        <f>SUM(C16:C33)</f>
        <v>526</v>
      </c>
      <c r="D35" s="357">
        <f>SUM(D16:D33)</f>
        <v>-12</v>
      </c>
      <c r="E35" s="537">
        <f>SUM(E16:E34)</f>
        <v>530.08</v>
      </c>
      <c r="F35" s="204"/>
    </row>
    <row r="36" spans="1:5" ht="11.25">
      <c r="A36" s="315"/>
      <c r="B36" s="528"/>
      <c r="C36" s="528"/>
      <c r="D36" s="265"/>
      <c r="E36" s="368"/>
    </row>
    <row r="37" spans="1:6" ht="11.25">
      <c r="A37" s="314" t="s">
        <v>447</v>
      </c>
      <c r="B37" s="404">
        <f>+B35+B13</f>
        <v>674</v>
      </c>
      <c r="C37" s="404">
        <f>+C35+C13</f>
        <v>659</v>
      </c>
      <c r="D37" s="404">
        <f>+D35+D13</f>
        <v>-15</v>
      </c>
      <c r="E37" s="534">
        <f>+E35+E13</f>
        <v>663.83</v>
      </c>
      <c r="F37" s="203"/>
    </row>
    <row r="38" spans="1:5" ht="11.25">
      <c r="A38" s="315"/>
      <c r="B38" s="528"/>
      <c r="C38" s="528"/>
      <c r="D38" s="265"/>
      <c r="E38" s="368"/>
    </row>
    <row r="39" spans="1:5" ht="11.25">
      <c r="A39" s="315" t="s">
        <v>561</v>
      </c>
      <c r="B39" s="528">
        <v>1</v>
      </c>
      <c r="C39" s="528">
        <v>1</v>
      </c>
      <c r="D39" s="265">
        <f>+C39-B39</f>
        <v>0</v>
      </c>
      <c r="E39" s="368">
        <v>1</v>
      </c>
    </row>
    <row r="40" spans="1:5" ht="11.25">
      <c r="A40" s="318" t="s">
        <v>592</v>
      </c>
      <c r="B40" s="529">
        <v>1</v>
      </c>
      <c r="C40" s="529">
        <v>1</v>
      </c>
      <c r="D40" s="405">
        <f>+C40-B40</f>
        <v>0</v>
      </c>
      <c r="E40" s="533">
        <v>1</v>
      </c>
    </row>
    <row r="41" spans="1:5" ht="11.25">
      <c r="A41" s="314" t="s">
        <v>448</v>
      </c>
      <c r="B41" s="404">
        <f>SUM(B39:B40)</f>
        <v>2</v>
      </c>
      <c r="C41" s="404">
        <f>SUM(C39:C40)</f>
        <v>2</v>
      </c>
      <c r="D41" s="404">
        <f>SUM(D39:D40)</f>
        <v>0</v>
      </c>
      <c r="E41" s="534">
        <f>SUM(E39:E40)</f>
        <v>2</v>
      </c>
    </row>
    <row r="42" spans="1:5" ht="11.25">
      <c r="A42" s="315"/>
      <c r="B42" s="530"/>
      <c r="C42" s="530"/>
      <c r="D42" s="265"/>
      <c r="E42" s="368"/>
    </row>
    <row r="43" spans="1:5" ht="11.25">
      <c r="A43" s="315" t="s">
        <v>562</v>
      </c>
      <c r="B43" s="528">
        <v>2</v>
      </c>
      <c r="C43" s="528">
        <v>2</v>
      </c>
      <c r="D43" s="265">
        <f aca="true" t="shared" si="2" ref="D43:D56">+C43-B43</f>
        <v>0</v>
      </c>
      <c r="E43" s="368">
        <v>2</v>
      </c>
    </row>
    <row r="44" spans="1:5" ht="11.25">
      <c r="A44" s="315" t="s">
        <v>599</v>
      </c>
      <c r="B44" s="528">
        <v>0</v>
      </c>
      <c r="C44" s="528">
        <v>0</v>
      </c>
      <c r="D44" s="265"/>
      <c r="E44" s="368">
        <v>0</v>
      </c>
    </row>
    <row r="45" spans="1:5" ht="11.25">
      <c r="A45" s="315" t="s">
        <v>600</v>
      </c>
      <c r="B45" s="528">
        <v>17</v>
      </c>
      <c r="C45" s="528">
        <v>15</v>
      </c>
      <c r="D45" s="265">
        <f t="shared" si="2"/>
        <v>-2</v>
      </c>
      <c r="E45" s="368">
        <v>-2</v>
      </c>
    </row>
    <row r="46" spans="1:5" ht="11.25">
      <c r="A46" s="315" t="s">
        <v>593</v>
      </c>
      <c r="B46" s="528">
        <v>4</v>
      </c>
      <c r="C46" s="528">
        <v>4</v>
      </c>
      <c r="D46" s="265">
        <f t="shared" si="2"/>
        <v>0</v>
      </c>
      <c r="E46" s="368">
        <v>0</v>
      </c>
    </row>
    <row r="47" spans="1:5" ht="11.25">
      <c r="A47" s="315" t="s">
        <v>563</v>
      </c>
      <c r="B47" s="528">
        <v>2</v>
      </c>
      <c r="C47" s="528">
        <v>2</v>
      </c>
      <c r="D47" s="265">
        <f t="shared" si="2"/>
        <v>0</v>
      </c>
      <c r="E47" s="368">
        <v>0</v>
      </c>
    </row>
    <row r="48" spans="1:5" ht="11.25">
      <c r="A48" s="315" t="s">
        <v>134</v>
      </c>
      <c r="B48" s="528">
        <v>1</v>
      </c>
      <c r="C48" s="528">
        <v>1</v>
      </c>
      <c r="D48" s="265">
        <f t="shared" si="2"/>
        <v>0</v>
      </c>
      <c r="E48" s="368">
        <v>0</v>
      </c>
    </row>
    <row r="49" spans="1:5" ht="11.25">
      <c r="A49" s="315" t="s">
        <v>564</v>
      </c>
      <c r="B49" s="528">
        <v>3</v>
      </c>
      <c r="C49" s="528">
        <v>3</v>
      </c>
      <c r="D49" s="265">
        <f t="shared" si="2"/>
        <v>0</v>
      </c>
      <c r="E49" s="368">
        <v>0</v>
      </c>
    </row>
    <row r="50" spans="1:5" ht="11.25">
      <c r="A50" s="315" t="s">
        <v>642</v>
      </c>
      <c r="B50" s="528">
        <v>5</v>
      </c>
      <c r="C50" s="528">
        <v>5</v>
      </c>
      <c r="D50" s="265">
        <f t="shared" si="2"/>
        <v>0</v>
      </c>
      <c r="E50" s="368">
        <v>0</v>
      </c>
    </row>
    <row r="51" spans="1:5" ht="11.25">
      <c r="A51" s="315" t="s">
        <v>643</v>
      </c>
      <c r="B51" s="528">
        <v>4</v>
      </c>
      <c r="C51" s="528">
        <v>3</v>
      </c>
      <c r="D51" s="265">
        <f t="shared" si="2"/>
        <v>-1</v>
      </c>
      <c r="E51" s="368">
        <v>-1</v>
      </c>
    </row>
    <row r="52" spans="1:5" ht="11.25">
      <c r="A52" s="315" t="s">
        <v>601</v>
      </c>
      <c r="B52" s="528">
        <v>95</v>
      </c>
      <c r="C52" s="528">
        <v>91</v>
      </c>
      <c r="D52" s="265">
        <f t="shared" si="2"/>
        <v>-4</v>
      </c>
      <c r="E52" s="368">
        <v>-4</v>
      </c>
    </row>
    <row r="53" spans="1:5" ht="11.25">
      <c r="A53" s="315" t="s">
        <v>565</v>
      </c>
      <c r="B53" s="528">
        <v>27</v>
      </c>
      <c r="C53" s="528">
        <v>26</v>
      </c>
      <c r="D53" s="265">
        <f t="shared" si="2"/>
        <v>-1</v>
      </c>
      <c r="E53" s="368">
        <v>-1</v>
      </c>
    </row>
    <row r="54" spans="1:5" ht="11.25">
      <c r="A54" s="315" t="s">
        <v>566</v>
      </c>
      <c r="B54" s="528">
        <v>9</v>
      </c>
      <c r="C54" s="528">
        <v>9</v>
      </c>
      <c r="D54" s="265">
        <f t="shared" si="2"/>
        <v>0</v>
      </c>
      <c r="E54" s="368">
        <v>0</v>
      </c>
    </row>
    <row r="55" spans="1:5" ht="11.25">
      <c r="A55" s="315" t="s">
        <v>567</v>
      </c>
      <c r="B55" s="528">
        <v>7</v>
      </c>
      <c r="C55" s="528">
        <v>7</v>
      </c>
      <c r="D55" s="265">
        <f t="shared" si="2"/>
        <v>0</v>
      </c>
      <c r="E55" s="368">
        <v>0</v>
      </c>
    </row>
    <row r="56" spans="1:5" ht="11.25">
      <c r="A56" s="315" t="s">
        <v>568</v>
      </c>
      <c r="B56" s="529">
        <v>5</v>
      </c>
      <c r="C56" s="529">
        <v>5</v>
      </c>
      <c r="D56" s="405">
        <f t="shared" si="2"/>
        <v>0</v>
      </c>
      <c r="E56" s="533">
        <v>0</v>
      </c>
    </row>
    <row r="57" spans="1:5" ht="11.25">
      <c r="A57" s="314" t="s">
        <v>449</v>
      </c>
      <c r="B57" s="530">
        <f>SUM(B43:B56)</f>
        <v>181</v>
      </c>
      <c r="C57" s="530">
        <f>SUM(C43:C56)</f>
        <v>173</v>
      </c>
      <c r="D57" s="530">
        <f>SUM(D43:D56)</f>
        <v>-8</v>
      </c>
      <c r="E57" s="370">
        <f>SUM(E43:E56)</f>
        <v>-6</v>
      </c>
    </row>
    <row r="58" spans="1:5" ht="11.25">
      <c r="A58" s="315"/>
      <c r="B58" s="528"/>
      <c r="C58" s="528"/>
      <c r="D58" s="265"/>
      <c r="E58" s="368"/>
    </row>
    <row r="59" spans="1:5" ht="11.25">
      <c r="A59" s="315" t="s">
        <v>694</v>
      </c>
      <c r="B59" s="198"/>
      <c r="C59" s="198"/>
      <c r="D59" s="265">
        <f>+C59-B59</f>
        <v>0</v>
      </c>
      <c r="E59" s="368"/>
    </row>
    <row r="60" spans="1:5" ht="11.25">
      <c r="A60" s="315" t="s">
        <v>569</v>
      </c>
      <c r="B60" s="198">
        <v>7</v>
      </c>
      <c r="C60" s="198">
        <v>6</v>
      </c>
      <c r="D60" s="265">
        <f aca="true" t="shared" si="3" ref="D60:D66">+C60-B60</f>
        <v>-1</v>
      </c>
      <c r="E60" s="368">
        <v>6.583333333333333</v>
      </c>
    </row>
    <row r="61" spans="1:5" ht="11.25">
      <c r="A61" s="315" t="s">
        <v>570</v>
      </c>
      <c r="B61" s="198">
        <v>8</v>
      </c>
      <c r="C61" s="198">
        <v>8</v>
      </c>
      <c r="D61" s="265">
        <f t="shared" si="3"/>
        <v>0</v>
      </c>
      <c r="E61" s="368">
        <v>8</v>
      </c>
    </row>
    <row r="62" spans="1:5" ht="11.25">
      <c r="A62" s="315" t="s">
        <v>571</v>
      </c>
      <c r="B62" s="198">
        <v>25</v>
      </c>
      <c r="C62" s="198">
        <v>23</v>
      </c>
      <c r="D62" s="265">
        <f t="shared" si="3"/>
        <v>-2</v>
      </c>
      <c r="E62" s="368">
        <v>23.75</v>
      </c>
    </row>
    <row r="63" spans="1:5" ht="11.25">
      <c r="A63" s="315" t="s">
        <v>572</v>
      </c>
      <c r="B63" s="198">
        <v>50</v>
      </c>
      <c r="C63" s="198">
        <v>46</v>
      </c>
      <c r="D63" s="265">
        <f t="shared" si="3"/>
        <v>-4</v>
      </c>
      <c r="E63" s="368">
        <v>49.416666666666664</v>
      </c>
    </row>
    <row r="64" spans="1:5" ht="11.25">
      <c r="A64" s="315" t="s">
        <v>594</v>
      </c>
      <c r="B64" s="198">
        <v>7</v>
      </c>
      <c r="C64" s="198">
        <v>7</v>
      </c>
      <c r="D64" s="265">
        <f t="shared" si="3"/>
        <v>0</v>
      </c>
      <c r="E64" s="368">
        <v>7</v>
      </c>
    </row>
    <row r="65" spans="1:5" ht="11.25">
      <c r="A65" s="315" t="s">
        <v>573</v>
      </c>
      <c r="B65" s="198">
        <v>40</v>
      </c>
      <c r="C65" s="198">
        <v>41</v>
      </c>
      <c r="D65" s="265">
        <f t="shared" si="3"/>
        <v>1</v>
      </c>
      <c r="E65" s="368">
        <v>40.083333333333336</v>
      </c>
    </row>
    <row r="66" spans="1:5" ht="11.25">
      <c r="A66" s="315" t="s">
        <v>574</v>
      </c>
      <c r="B66" s="405">
        <v>1</v>
      </c>
      <c r="C66" s="405">
        <v>1</v>
      </c>
      <c r="D66" s="405">
        <f t="shared" si="3"/>
        <v>0</v>
      </c>
      <c r="E66" s="533">
        <v>1</v>
      </c>
    </row>
    <row r="67" spans="1:5" ht="11.25">
      <c r="A67" s="314" t="s">
        <v>450</v>
      </c>
      <c r="B67" s="229">
        <f>SUM(B59:B66)</f>
        <v>138</v>
      </c>
      <c r="C67" s="229">
        <f>SUM(C59:C66)</f>
        <v>132</v>
      </c>
      <c r="D67" s="229">
        <f>SUM(D59:D66)</f>
        <v>-6</v>
      </c>
      <c r="E67" s="534">
        <f>SUM(E59:E66)</f>
        <v>135.83333333333334</v>
      </c>
    </row>
    <row r="68" spans="1:5" ht="11.25">
      <c r="A68" s="314"/>
      <c r="B68" s="528"/>
      <c r="C68" s="528"/>
      <c r="D68" s="265"/>
      <c r="E68" s="535"/>
    </row>
    <row r="69" spans="1:5" s="203" customFormat="1" ht="10.5">
      <c r="A69" s="319" t="s">
        <v>575</v>
      </c>
      <c r="B69" s="229">
        <f>+B67+B57+B37+B41</f>
        <v>995</v>
      </c>
      <c r="C69" s="229">
        <f>+C67+C57+C37+C41</f>
        <v>966</v>
      </c>
      <c r="D69" s="229">
        <f>+D67+D57+D37+D41</f>
        <v>-29</v>
      </c>
      <c r="E69" s="534">
        <f>+E67+E57+E37+E41</f>
        <v>795.6633333333334</v>
      </c>
    </row>
    <row r="70" spans="1:5" ht="11.25">
      <c r="A70" s="315"/>
      <c r="B70" s="528"/>
      <c r="C70" s="528"/>
      <c r="D70" s="265"/>
      <c r="E70" s="535"/>
    </row>
    <row r="71" spans="1:5" ht="11.25">
      <c r="A71" s="319" t="s">
        <v>455</v>
      </c>
      <c r="B71" s="530">
        <v>82</v>
      </c>
      <c r="C71" s="530">
        <v>81</v>
      </c>
      <c r="D71" s="530">
        <f>+C71-B71</f>
        <v>-1</v>
      </c>
      <c r="E71" s="535">
        <v>81.83</v>
      </c>
    </row>
    <row r="72" spans="1:5" ht="11.25">
      <c r="A72" s="315"/>
      <c r="B72" s="528"/>
      <c r="C72" s="528"/>
      <c r="D72" s="265"/>
      <c r="E72" s="368"/>
    </row>
    <row r="73" spans="1:5" ht="11.25">
      <c r="A73" s="319" t="s">
        <v>434</v>
      </c>
      <c r="B73" s="229">
        <f>+B69+B71</f>
        <v>1077</v>
      </c>
      <c r="C73" s="229">
        <f>+C69+C71</f>
        <v>1047</v>
      </c>
      <c r="D73" s="229">
        <f>+D69+D71</f>
        <v>-30</v>
      </c>
      <c r="E73" s="534">
        <f>+E69+E71</f>
        <v>877.4933333333335</v>
      </c>
    </row>
    <row r="74" spans="1:5" ht="11.25">
      <c r="A74" s="319"/>
      <c r="B74" s="528"/>
      <c r="C74" s="528"/>
      <c r="D74" s="229"/>
      <c r="E74" s="535"/>
    </row>
    <row r="75" spans="1:5" ht="11.25">
      <c r="A75" s="319" t="s">
        <v>435</v>
      </c>
      <c r="B75" s="229">
        <v>1</v>
      </c>
      <c r="C75" s="229">
        <v>1</v>
      </c>
      <c r="D75" s="229">
        <f>+C75-B75</f>
        <v>0</v>
      </c>
      <c r="E75" s="534">
        <v>1</v>
      </c>
    </row>
    <row r="76" spans="1:5" ht="12" thickBot="1">
      <c r="A76" s="403"/>
      <c r="B76" s="531"/>
      <c r="C76" s="531"/>
      <c r="D76" s="162"/>
      <c r="E76" s="536"/>
    </row>
    <row r="77" spans="1:5" ht="12" thickBot="1">
      <c r="A77" s="320" t="s">
        <v>425</v>
      </c>
      <c r="B77" s="357">
        <f>B73+B75</f>
        <v>1078</v>
      </c>
      <c r="C77" s="357">
        <f>C73+C75</f>
        <v>1048</v>
      </c>
      <c r="D77" s="357">
        <f>D73+D75</f>
        <v>-30</v>
      </c>
      <c r="E77" s="537">
        <f>E73+E75</f>
        <v>878.4933333333335</v>
      </c>
    </row>
    <row r="80" spans="2:3" ht="11.25">
      <c r="B80" s="393"/>
      <c r="C80" s="393"/>
    </row>
  </sheetData>
  <printOptions/>
  <pageMargins left="0.75" right="0.75" top="0.71" bottom="0.75" header="0.5" footer="0.3"/>
  <pageSetup firstPageNumber="69" useFirstPageNumber="1" horizontalDpi="300" verticalDpi="300" orientation="portrait" paperSize="9" r:id="rId1"/>
  <headerFooter alignWithMargins="0">
    <oddHeader>&amp;CTabella N.I. 18/2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L93"/>
  <sheetViews>
    <sheetView workbookViewId="0" topLeftCell="A71">
      <selection activeCell="A59" sqref="A59:F90"/>
    </sheetView>
  </sheetViews>
  <sheetFormatPr defaultColWidth="9.140625" defaultRowHeight="12.75"/>
  <cols>
    <col min="1" max="1" width="2.8515625" style="118" customWidth="1"/>
    <col min="2" max="2" width="39.8515625" style="119" customWidth="1"/>
    <col min="3" max="3" width="19.8515625" style="110" hidden="1" customWidth="1"/>
    <col min="4" max="4" width="13.7109375" style="111" hidden="1" customWidth="1"/>
    <col min="5" max="6" width="18.7109375" style="662" customWidth="1"/>
    <col min="7" max="7" width="13.7109375" style="112" hidden="1" customWidth="1"/>
    <col min="8" max="8" width="13.7109375" style="113" hidden="1" customWidth="1"/>
    <col min="9" max="9" width="13.7109375" style="111" hidden="1" customWidth="1"/>
    <col min="10" max="10" width="15.28125" style="114" hidden="1" customWidth="1"/>
    <col min="11" max="11" width="15.57421875" style="115" hidden="1" customWidth="1"/>
    <col min="12" max="12" width="15.421875" style="115" hidden="1" customWidth="1"/>
    <col min="13" max="16" width="8.8515625" style="116" hidden="1" customWidth="1"/>
    <col min="17" max="17" width="12.00390625" style="116" bestFit="1" customWidth="1"/>
    <col min="18" max="18" width="11.421875" style="117" customWidth="1"/>
    <col min="19" max="193" width="8.8515625" style="116" customWidth="1"/>
    <col min="194" max="16384" width="8.8515625" style="111" customWidth="1"/>
  </cols>
  <sheetData>
    <row r="1" spans="1:2" ht="16.5">
      <c r="A1" s="108"/>
      <c r="B1" s="109" t="s">
        <v>781</v>
      </c>
    </row>
    <row r="3" spans="1:194" ht="16.5" thickBot="1">
      <c r="A3" s="796" t="s">
        <v>123</v>
      </c>
      <c r="B3" s="796"/>
      <c r="C3" s="796"/>
      <c r="D3" s="796"/>
      <c r="E3" s="796"/>
      <c r="F3" s="796"/>
      <c r="G3" s="118"/>
      <c r="H3" s="112"/>
      <c r="I3" s="120"/>
      <c r="J3" s="111"/>
      <c r="K3" s="114"/>
      <c r="M3" s="115"/>
      <c r="GL3" s="116"/>
    </row>
    <row r="4" spans="1:193" s="126" customFormat="1" ht="31.5">
      <c r="A4" s="605"/>
      <c r="B4" s="606"/>
      <c r="C4" s="607" t="s">
        <v>477</v>
      </c>
      <c r="D4" s="608" t="s">
        <v>478</v>
      </c>
      <c r="E4" s="663" t="s">
        <v>848</v>
      </c>
      <c r="F4" s="663" t="s">
        <v>122</v>
      </c>
      <c r="G4" s="121"/>
      <c r="H4" s="122"/>
      <c r="I4" s="122"/>
      <c r="J4" s="123"/>
      <c r="K4" s="123"/>
      <c r="L4" s="123"/>
      <c r="M4" s="124"/>
      <c r="N4" s="124"/>
      <c r="O4" s="124"/>
      <c r="P4" s="124"/>
      <c r="Q4" s="124"/>
      <c r="R4" s="125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</row>
    <row r="5" spans="1:8" ht="12.75">
      <c r="A5" s="127"/>
      <c r="B5" s="151"/>
      <c r="C5" s="145"/>
      <c r="D5" s="128"/>
      <c r="E5" s="664"/>
      <c r="F5" s="664"/>
      <c r="G5" s="129"/>
      <c r="H5" s="111"/>
    </row>
    <row r="6" spans="1:8" ht="12.75">
      <c r="A6" s="130" t="s">
        <v>479</v>
      </c>
      <c r="B6" s="488" t="s">
        <v>480</v>
      </c>
      <c r="C6" s="482"/>
      <c r="D6" s="128"/>
      <c r="E6" s="664"/>
      <c r="F6" s="664"/>
      <c r="G6" s="129"/>
      <c r="H6" s="111"/>
    </row>
    <row r="7" spans="1:8" ht="12.75">
      <c r="A7" s="130"/>
      <c r="B7" s="489"/>
      <c r="C7" s="146"/>
      <c r="D7" s="128"/>
      <c r="E7" s="664"/>
      <c r="F7" s="664"/>
      <c r="G7" s="129"/>
      <c r="H7" s="111"/>
    </row>
    <row r="8" spans="1:9" ht="12.75">
      <c r="A8" s="131">
        <v>1</v>
      </c>
      <c r="B8" s="489" t="s">
        <v>481</v>
      </c>
      <c r="C8" s="146"/>
      <c r="D8" s="132"/>
      <c r="E8" s="665"/>
      <c r="F8" s="665"/>
      <c r="G8" s="133"/>
      <c r="H8" s="134"/>
      <c r="I8" s="134"/>
    </row>
    <row r="9" spans="1:11" ht="12.75">
      <c r="A9" s="131"/>
      <c r="B9" s="490" t="s">
        <v>482</v>
      </c>
      <c r="C9" s="483"/>
      <c r="D9" s="132"/>
      <c r="E9" s="666">
        <v>6940506</v>
      </c>
      <c r="F9" s="666">
        <v>7244279</v>
      </c>
      <c r="G9" s="133" t="e">
        <f>+#REF!-F9</f>
        <v>#REF!</v>
      </c>
      <c r="H9" s="134"/>
      <c r="I9" s="134"/>
      <c r="J9" s="135"/>
      <c r="K9" s="136"/>
    </row>
    <row r="10" spans="1:11" ht="12.75">
      <c r="A10" s="131"/>
      <c r="B10" s="490" t="s">
        <v>483</v>
      </c>
      <c r="C10" s="483"/>
      <c r="D10" s="132"/>
      <c r="E10" s="666">
        <v>4123564</v>
      </c>
      <c r="F10" s="666">
        <v>3834848</v>
      </c>
      <c r="G10" s="133" t="e">
        <f aca="true" t="shared" si="0" ref="G10:G21">+#REF!-F10</f>
        <v>#REF!</v>
      </c>
      <c r="H10" s="134"/>
      <c r="I10" s="134"/>
      <c r="J10" s="135"/>
      <c r="K10" s="136"/>
    </row>
    <row r="11" spans="1:9" ht="12.75">
      <c r="A11" s="131">
        <v>2</v>
      </c>
      <c r="B11" s="489" t="s">
        <v>484</v>
      </c>
      <c r="C11" s="146"/>
      <c r="D11" s="132"/>
      <c r="E11" s="666"/>
      <c r="F11" s="666"/>
      <c r="G11" s="133" t="e">
        <f t="shared" si="0"/>
        <v>#REF!</v>
      </c>
      <c r="H11" s="134"/>
      <c r="I11" s="134"/>
    </row>
    <row r="12" spans="1:11" ht="12.75">
      <c r="A12" s="131"/>
      <c r="B12" s="490" t="s">
        <v>485</v>
      </c>
      <c r="C12" s="483"/>
      <c r="D12" s="132"/>
      <c r="E12" s="667"/>
      <c r="F12" s="667"/>
      <c r="G12" s="133" t="e">
        <f t="shared" si="0"/>
        <v>#REF!</v>
      </c>
      <c r="H12" s="134"/>
      <c r="I12" s="134"/>
      <c r="J12" s="135"/>
      <c r="K12" s="136"/>
    </row>
    <row r="13" spans="1:11" ht="12.75">
      <c r="A13" s="131"/>
      <c r="B13" s="490" t="s">
        <v>486</v>
      </c>
      <c r="C13" s="483"/>
      <c r="D13" s="132"/>
      <c r="E13" s="666"/>
      <c r="F13" s="666"/>
      <c r="G13" s="133" t="e">
        <f t="shared" si="0"/>
        <v>#REF!</v>
      </c>
      <c r="H13" s="134"/>
      <c r="I13" s="134"/>
      <c r="J13" s="135"/>
      <c r="K13" s="136"/>
    </row>
    <row r="14" spans="1:11" ht="12.75">
      <c r="A14" s="131"/>
      <c r="B14" s="490" t="s">
        <v>487</v>
      </c>
      <c r="C14" s="483"/>
      <c r="D14" s="132"/>
      <c r="E14" s="666"/>
      <c r="F14" s="666"/>
      <c r="G14" s="133" t="e">
        <f t="shared" si="0"/>
        <v>#REF!</v>
      </c>
      <c r="H14" s="134"/>
      <c r="I14" s="134"/>
      <c r="J14" s="135"/>
      <c r="K14" s="136"/>
    </row>
    <row r="15" spans="1:9" ht="12.75">
      <c r="A15" s="131">
        <v>3</v>
      </c>
      <c r="B15" s="489" t="s">
        <v>488</v>
      </c>
      <c r="C15" s="146"/>
      <c r="D15" s="132"/>
      <c r="E15" s="666"/>
      <c r="F15" s="666"/>
      <c r="G15" s="133" t="e">
        <f t="shared" si="0"/>
        <v>#REF!</v>
      </c>
      <c r="H15" s="134"/>
      <c r="I15" s="134"/>
    </row>
    <row r="16" spans="1:11" ht="22.5">
      <c r="A16" s="131"/>
      <c r="B16" s="490" t="s">
        <v>489</v>
      </c>
      <c r="C16" s="483"/>
      <c r="D16" s="132"/>
      <c r="E16" s="666"/>
      <c r="F16" s="666"/>
      <c r="G16" s="133" t="e">
        <f t="shared" si="0"/>
        <v>#REF!</v>
      </c>
      <c r="H16" s="134"/>
      <c r="I16" s="134"/>
      <c r="J16" s="135"/>
      <c r="K16" s="136"/>
    </row>
    <row r="17" spans="1:11" ht="12.75">
      <c r="A17" s="138"/>
      <c r="B17" s="490" t="s">
        <v>490</v>
      </c>
      <c r="C17" s="483"/>
      <c r="D17" s="132"/>
      <c r="E17" s="668">
        <v>221850</v>
      </c>
      <c r="F17" s="668">
        <v>227505</v>
      </c>
      <c r="G17" s="133" t="e">
        <f t="shared" si="0"/>
        <v>#REF!</v>
      </c>
      <c r="H17" s="134"/>
      <c r="I17" s="134"/>
      <c r="J17" s="135"/>
      <c r="K17" s="136"/>
    </row>
    <row r="18" spans="1:11" ht="12.75">
      <c r="A18" s="138"/>
      <c r="B18" s="490" t="s">
        <v>491</v>
      </c>
      <c r="C18" s="483"/>
      <c r="D18" s="132"/>
      <c r="E18" s="668">
        <v>1181847</v>
      </c>
      <c r="F18" s="668">
        <v>1083897</v>
      </c>
      <c r="G18" s="133" t="e">
        <f t="shared" si="0"/>
        <v>#REF!</v>
      </c>
      <c r="H18" s="134"/>
      <c r="I18" s="134"/>
      <c r="J18" s="135"/>
      <c r="K18" s="136"/>
    </row>
    <row r="19" spans="1:11" ht="12.75">
      <c r="A19" s="131"/>
      <c r="B19" s="491" t="s">
        <v>492</v>
      </c>
      <c r="C19" s="484"/>
      <c r="D19" s="132"/>
      <c r="E19" s="666"/>
      <c r="F19" s="666"/>
      <c r="G19" s="133" t="e">
        <f t="shared" si="0"/>
        <v>#REF!</v>
      </c>
      <c r="H19" s="134"/>
      <c r="I19" s="134"/>
      <c r="J19" s="135"/>
      <c r="K19" s="136"/>
    </row>
    <row r="20" spans="1:11" ht="12.75">
      <c r="A20" s="131">
        <v>4</v>
      </c>
      <c r="B20" s="489" t="s">
        <v>493</v>
      </c>
      <c r="C20" s="146"/>
      <c r="D20" s="132"/>
      <c r="E20" s="669"/>
      <c r="F20" s="669"/>
      <c r="G20" s="133" t="e">
        <f t="shared" si="0"/>
        <v>#REF!</v>
      </c>
      <c r="H20" s="134"/>
      <c r="I20" s="134"/>
      <c r="J20" s="135"/>
      <c r="K20" s="136"/>
    </row>
    <row r="21" spans="1:8" ht="12.75">
      <c r="A21" s="139">
        <v>5</v>
      </c>
      <c r="B21" s="489" t="s">
        <v>494</v>
      </c>
      <c r="C21" s="146"/>
      <c r="D21" s="128"/>
      <c r="E21" s="409"/>
      <c r="F21" s="409"/>
      <c r="G21" s="133" t="e">
        <f t="shared" si="0"/>
        <v>#REF!</v>
      </c>
      <c r="H21" s="111"/>
    </row>
    <row r="22" spans="1:16" ht="12.75">
      <c r="A22" s="140"/>
      <c r="B22" s="492" t="s">
        <v>495</v>
      </c>
      <c r="C22" s="485"/>
      <c r="D22" s="141"/>
      <c r="E22" s="670">
        <f>SUM(E9:E21)</f>
        <v>12467767</v>
      </c>
      <c r="F22" s="670">
        <f>SUM(F9:F21)</f>
        <v>12390529</v>
      </c>
      <c r="G22" s="410" t="e">
        <f aca="true" t="shared" si="1" ref="G22:P22">SUM(G9:G21)</f>
        <v>#REF!</v>
      </c>
      <c r="H22" s="410">
        <f t="shared" si="1"/>
        <v>0</v>
      </c>
      <c r="I22" s="410">
        <f t="shared" si="1"/>
        <v>0</v>
      </c>
      <c r="J22" s="410">
        <f t="shared" si="1"/>
        <v>0</v>
      </c>
      <c r="K22" s="410">
        <f t="shared" si="1"/>
        <v>0</v>
      </c>
      <c r="L22" s="410">
        <f t="shared" si="1"/>
        <v>0</v>
      </c>
      <c r="M22" s="410">
        <f t="shared" si="1"/>
        <v>0</v>
      </c>
      <c r="N22" s="410">
        <f t="shared" si="1"/>
        <v>0</v>
      </c>
      <c r="O22" s="410">
        <f t="shared" si="1"/>
        <v>0</v>
      </c>
      <c r="P22" s="410">
        <f t="shared" si="1"/>
        <v>0</v>
      </c>
    </row>
    <row r="23" spans="1:9" ht="12.75">
      <c r="A23" s="130"/>
      <c r="B23" s="489"/>
      <c r="C23" s="146"/>
      <c r="D23" s="132"/>
      <c r="E23" s="665"/>
      <c r="F23" s="665"/>
      <c r="G23" s="133" t="e">
        <f aca="true" t="shared" si="2" ref="G23:G85">+#REF!-F23</f>
        <v>#REF!</v>
      </c>
      <c r="H23" s="134"/>
      <c r="I23" s="134"/>
    </row>
    <row r="24" spans="1:9" ht="12.75">
      <c r="A24" s="130" t="s">
        <v>496</v>
      </c>
      <c r="B24" s="493" t="s">
        <v>497</v>
      </c>
      <c r="C24" s="486"/>
      <c r="D24" s="132"/>
      <c r="E24" s="665"/>
      <c r="F24" s="665"/>
      <c r="G24" s="133" t="e">
        <f t="shared" si="2"/>
        <v>#REF!</v>
      </c>
      <c r="H24" s="134"/>
      <c r="I24" s="134"/>
    </row>
    <row r="25" spans="1:9" ht="12.75" customHeight="1">
      <c r="A25" s="130"/>
      <c r="B25" s="489"/>
      <c r="C25" s="146"/>
      <c r="D25" s="132"/>
      <c r="E25" s="665"/>
      <c r="F25" s="665"/>
      <c r="G25" s="133" t="e">
        <f t="shared" si="2"/>
        <v>#REF!</v>
      </c>
      <c r="H25" s="134"/>
      <c r="I25" s="134"/>
    </row>
    <row r="26" spans="1:9" ht="12.75">
      <c r="A26" s="131">
        <v>1</v>
      </c>
      <c r="B26" s="489" t="s">
        <v>498</v>
      </c>
      <c r="C26" s="146"/>
      <c r="D26" s="132"/>
      <c r="E26" s="665"/>
      <c r="F26" s="665"/>
      <c r="G26" s="133" t="e">
        <f t="shared" si="2"/>
        <v>#REF!</v>
      </c>
      <c r="H26" s="134"/>
      <c r="I26" s="134"/>
    </row>
    <row r="27" spans="1:11" ht="12.75">
      <c r="A27" s="131"/>
      <c r="B27" s="490" t="s">
        <v>499</v>
      </c>
      <c r="C27" s="483">
        <v>-3903712264</v>
      </c>
      <c r="D27" s="132"/>
      <c r="E27" s="215">
        <v>-3987</v>
      </c>
      <c r="F27" s="215">
        <v>-3240</v>
      </c>
      <c r="G27" s="133" t="e">
        <f t="shared" si="2"/>
        <v>#REF!</v>
      </c>
      <c r="H27" s="134"/>
      <c r="I27" s="134"/>
      <c r="J27" s="135"/>
      <c r="K27" s="136"/>
    </row>
    <row r="28" spans="1:11" ht="12.75">
      <c r="A28" s="131"/>
      <c r="B28" s="490" t="s">
        <v>500</v>
      </c>
      <c r="C28" s="483">
        <v>-638081988</v>
      </c>
      <c r="D28" s="132"/>
      <c r="E28" s="215">
        <v>-59004</v>
      </c>
      <c r="F28" s="215">
        <v>-52463</v>
      </c>
      <c r="G28" s="133" t="e">
        <f t="shared" si="2"/>
        <v>#REF!</v>
      </c>
      <c r="H28" s="134"/>
      <c r="I28" s="134"/>
      <c r="J28" s="135"/>
      <c r="K28" s="136"/>
    </row>
    <row r="29" spans="1:10" ht="12.75">
      <c r="A29" s="131">
        <v>2</v>
      </c>
      <c r="B29" s="489" t="s">
        <v>501</v>
      </c>
      <c r="C29" s="146"/>
      <c r="D29" s="132"/>
      <c r="E29" s="215"/>
      <c r="F29" s="215"/>
      <c r="G29" s="133" t="e">
        <f t="shared" si="2"/>
        <v>#REF!</v>
      </c>
      <c r="H29" s="134"/>
      <c r="I29" s="134"/>
      <c r="J29" s="135"/>
    </row>
    <row r="30" spans="1:11" ht="12.75">
      <c r="A30" s="138"/>
      <c r="B30" s="490" t="s">
        <v>485</v>
      </c>
      <c r="C30" s="483">
        <v>0</v>
      </c>
      <c r="D30" s="132"/>
      <c r="E30" s="215">
        <v>0</v>
      </c>
      <c r="F30" s="215">
        <v>0</v>
      </c>
      <c r="G30" s="133" t="e">
        <f t="shared" si="2"/>
        <v>#REF!</v>
      </c>
      <c r="H30" s="134"/>
      <c r="I30" s="134"/>
      <c r="J30" s="135"/>
      <c r="K30" s="136"/>
    </row>
    <row r="31" spans="1:11" ht="12.75">
      <c r="A31" s="138"/>
      <c r="B31" s="490" t="s">
        <v>486</v>
      </c>
      <c r="C31" s="483">
        <v>0</v>
      </c>
      <c r="D31" s="132"/>
      <c r="E31" s="215">
        <v>0</v>
      </c>
      <c r="F31" s="215">
        <v>0</v>
      </c>
      <c r="G31" s="133" t="e">
        <f t="shared" si="2"/>
        <v>#REF!</v>
      </c>
      <c r="H31" s="134"/>
      <c r="I31" s="134"/>
      <c r="J31" s="135"/>
      <c r="K31" s="136"/>
    </row>
    <row r="32" spans="1:11" ht="12.75">
      <c r="A32" s="138"/>
      <c r="B32" s="490" t="s">
        <v>502</v>
      </c>
      <c r="C32" s="483">
        <v>0</v>
      </c>
      <c r="D32" s="132"/>
      <c r="E32" s="665">
        <v>0</v>
      </c>
      <c r="F32" s="665">
        <v>0</v>
      </c>
      <c r="G32" s="133" t="e">
        <f t="shared" si="2"/>
        <v>#REF!</v>
      </c>
      <c r="H32" s="134"/>
      <c r="I32" s="134"/>
      <c r="J32" s="135"/>
      <c r="K32" s="136"/>
    </row>
    <row r="33" spans="1:11" ht="12.75">
      <c r="A33" s="138"/>
      <c r="B33" s="490" t="s">
        <v>503</v>
      </c>
      <c r="C33" s="483">
        <v>-350000</v>
      </c>
      <c r="D33" s="132"/>
      <c r="E33" s="665">
        <v>0</v>
      </c>
      <c r="F33" s="665">
        <v>0</v>
      </c>
      <c r="G33" s="133" t="e">
        <f t="shared" si="2"/>
        <v>#REF!</v>
      </c>
      <c r="H33" s="134"/>
      <c r="I33" s="134"/>
      <c r="J33" s="135"/>
      <c r="K33" s="136"/>
    </row>
    <row r="34" spans="1:11" ht="12.75">
      <c r="A34" s="131"/>
      <c r="B34" s="490" t="s">
        <v>504</v>
      </c>
      <c r="C34" s="483">
        <v>-7715728</v>
      </c>
      <c r="D34" s="132"/>
      <c r="E34" s="215">
        <v>-5565832</v>
      </c>
      <c r="F34" s="215">
        <v>-5702505</v>
      </c>
      <c r="G34" s="133" t="e">
        <f t="shared" si="2"/>
        <v>#REF!</v>
      </c>
      <c r="H34" s="134"/>
      <c r="I34" s="134"/>
      <c r="J34" s="135"/>
      <c r="K34" s="136"/>
    </row>
    <row r="35" spans="1:11" ht="12.75">
      <c r="A35" s="131"/>
      <c r="B35" s="490" t="s">
        <v>505</v>
      </c>
      <c r="C35" s="483">
        <v>-585031763</v>
      </c>
      <c r="D35" s="132"/>
      <c r="E35" s="215">
        <v>-2043357</v>
      </c>
      <c r="F35" s="215">
        <v>-2156911</v>
      </c>
      <c r="G35" s="133" t="e">
        <f t="shared" si="2"/>
        <v>#REF!</v>
      </c>
      <c r="H35" s="134"/>
      <c r="I35" s="134"/>
      <c r="J35" s="135"/>
      <c r="K35" s="136"/>
    </row>
    <row r="36" spans="1:11" ht="12.75">
      <c r="A36" s="131"/>
      <c r="B36" s="490" t="s">
        <v>506</v>
      </c>
      <c r="C36" s="483">
        <v>-347388515</v>
      </c>
      <c r="D36" s="132"/>
      <c r="E36" s="215">
        <v>-89175</v>
      </c>
      <c r="F36" s="215">
        <v>-71560</v>
      </c>
      <c r="G36" s="133" t="e">
        <f t="shared" si="2"/>
        <v>#REF!</v>
      </c>
      <c r="H36" s="134"/>
      <c r="I36" s="134"/>
      <c r="J36" s="135"/>
      <c r="K36" s="136"/>
    </row>
    <row r="37" spans="1:11" ht="12.75">
      <c r="A37" s="131"/>
      <c r="B37" s="490" t="s">
        <v>507</v>
      </c>
      <c r="C37" s="483">
        <v>-808972808</v>
      </c>
      <c r="D37" s="132"/>
      <c r="E37" s="215">
        <v>-65063</v>
      </c>
      <c r="F37" s="215">
        <v>-60426</v>
      </c>
      <c r="G37" s="133" t="e">
        <f t="shared" si="2"/>
        <v>#REF!</v>
      </c>
      <c r="H37" s="134"/>
      <c r="I37" s="134"/>
      <c r="J37" s="135"/>
      <c r="K37" s="136"/>
    </row>
    <row r="38" spans="1:11" ht="12.75">
      <c r="A38" s="131"/>
      <c r="B38" s="490" t="s">
        <v>508</v>
      </c>
      <c r="C38" s="483">
        <v>0</v>
      </c>
      <c r="D38" s="132"/>
      <c r="E38" s="215">
        <v>-555776</v>
      </c>
      <c r="F38" s="215">
        <v>-665566</v>
      </c>
      <c r="G38" s="133" t="e">
        <f t="shared" si="2"/>
        <v>#REF!</v>
      </c>
      <c r="H38" s="134"/>
      <c r="I38" s="134"/>
      <c r="J38" s="135"/>
      <c r="K38" s="136"/>
    </row>
    <row r="39" spans="1:11" ht="12.75">
      <c r="A39" s="131"/>
      <c r="B39" s="489" t="s">
        <v>509</v>
      </c>
      <c r="C39" s="146">
        <v>-90269073</v>
      </c>
      <c r="D39" s="132"/>
      <c r="E39" s="215">
        <v>-182066</v>
      </c>
      <c r="F39" s="215">
        <v>-173886</v>
      </c>
      <c r="G39" s="133" t="e">
        <f t="shared" si="2"/>
        <v>#REF!</v>
      </c>
      <c r="H39" s="134"/>
      <c r="I39" s="134"/>
      <c r="J39" s="135"/>
      <c r="K39" s="136"/>
    </row>
    <row r="40" spans="1:11" ht="12.75">
      <c r="A40" s="131">
        <v>3</v>
      </c>
      <c r="B40" s="489" t="s">
        <v>510</v>
      </c>
      <c r="C40" s="146"/>
      <c r="D40" s="132"/>
      <c r="E40" s="215"/>
      <c r="F40" s="215"/>
      <c r="G40" s="133" t="e">
        <f t="shared" si="2"/>
        <v>#REF!</v>
      </c>
      <c r="H40" s="134"/>
      <c r="I40" s="134"/>
      <c r="J40" s="135"/>
      <c r="K40" s="136"/>
    </row>
    <row r="41" spans="1:9" ht="12.75">
      <c r="A41" s="131">
        <v>4</v>
      </c>
      <c r="B41" s="490" t="s">
        <v>511</v>
      </c>
      <c r="C41" s="483">
        <v>-12684489499</v>
      </c>
      <c r="D41" s="132"/>
      <c r="E41" s="215">
        <v>0</v>
      </c>
      <c r="F41" s="215">
        <v>0</v>
      </c>
      <c r="G41" s="133" t="e">
        <f t="shared" si="2"/>
        <v>#REF!</v>
      </c>
      <c r="H41" s="134"/>
      <c r="I41" s="134"/>
    </row>
    <row r="42" spans="1:11" ht="12.75">
      <c r="A42" s="131"/>
      <c r="B42" s="490" t="s">
        <v>512</v>
      </c>
      <c r="C42" s="483">
        <v>-37718487</v>
      </c>
      <c r="D42" s="132"/>
      <c r="E42" s="215">
        <v>0</v>
      </c>
      <c r="F42" s="215">
        <v>0</v>
      </c>
      <c r="G42" s="133" t="e">
        <f t="shared" si="2"/>
        <v>#REF!</v>
      </c>
      <c r="H42" s="134"/>
      <c r="I42" s="134"/>
      <c r="J42" s="135"/>
      <c r="K42" s="136"/>
    </row>
    <row r="43" spans="1:11" ht="12.75">
      <c r="A43" s="131"/>
      <c r="B43" s="490" t="s">
        <v>513</v>
      </c>
      <c r="C43" s="483">
        <v>-3299697640</v>
      </c>
      <c r="D43" s="132"/>
      <c r="E43" s="215">
        <v>-2380353</v>
      </c>
      <c r="F43" s="215">
        <v>-2335546</v>
      </c>
      <c r="G43" s="133" t="e">
        <f t="shared" si="2"/>
        <v>#REF!</v>
      </c>
      <c r="H43" s="134"/>
      <c r="I43" s="134"/>
      <c r="J43" s="135"/>
      <c r="K43" s="136"/>
    </row>
    <row r="44" spans="1:11" ht="12.75">
      <c r="A44" s="131"/>
      <c r="B44" s="490" t="s">
        <v>514</v>
      </c>
      <c r="C44" s="483">
        <v>-692391411</v>
      </c>
      <c r="D44" s="132"/>
      <c r="E44" s="215">
        <v>-120389</v>
      </c>
      <c r="F44" s="215">
        <v>-125107</v>
      </c>
      <c r="G44" s="133" t="e">
        <f t="shared" si="2"/>
        <v>#REF!</v>
      </c>
      <c r="H44" s="134"/>
      <c r="I44" s="134"/>
      <c r="J44" s="135"/>
      <c r="K44" s="136"/>
    </row>
    <row r="45" spans="1:12" ht="12.75">
      <c r="A45" s="131"/>
      <c r="B45" s="490" t="s">
        <v>515</v>
      </c>
      <c r="C45" s="483">
        <v>-88811469</v>
      </c>
      <c r="D45" s="132"/>
      <c r="E45" s="215">
        <v>-198697</v>
      </c>
      <c r="F45" s="215">
        <v>-189937</v>
      </c>
      <c r="G45" s="133" t="e">
        <f t="shared" si="2"/>
        <v>#REF!</v>
      </c>
      <c r="H45" s="134"/>
      <c r="I45" s="134"/>
      <c r="J45" s="135"/>
      <c r="K45" s="136"/>
      <c r="L45" s="136"/>
    </row>
    <row r="46" spans="1:11" ht="12.75">
      <c r="A46" s="131"/>
      <c r="B46" s="489" t="s">
        <v>516</v>
      </c>
      <c r="C46" s="146">
        <v>-34188451</v>
      </c>
      <c r="D46" s="132"/>
      <c r="E46" s="215">
        <v>-665776</v>
      </c>
      <c r="F46" s="215">
        <v>-608045</v>
      </c>
      <c r="G46" s="133" t="e">
        <f t="shared" si="2"/>
        <v>#REF!</v>
      </c>
      <c r="H46" s="134"/>
      <c r="I46" s="134"/>
      <c r="J46" s="135"/>
      <c r="K46" s="136"/>
    </row>
    <row r="47" spans="1:11" ht="12.75">
      <c r="A47" s="131">
        <v>5</v>
      </c>
      <c r="B47" s="489" t="s">
        <v>517</v>
      </c>
      <c r="C47" s="146"/>
      <c r="D47" s="132"/>
      <c r="E47" s="665"/>
      <c r="F47" s="665"/>
      <c r="G47" s="133" t="e">
        <f t="shared" si="2"/>
        <v>#REF!</v>
      </c>
      <c r="H47" s="134"/>
      <c r="I47" s="134"/>
      <c r="J47" s="135"/>
      <c r="K47" s="136"/>
    </row>
    <row r="48" spans="1:10" ht="12.75">
      <c r="A48" s="131">
        <v>6</v>
      </c>
      <c r="B48" s="490" t="s">
        <v>518</v>
      </c>
      <c r="C48" s="483"/>
      <c r="D48" s="132"/>
      <c r="E48" s="665">
        <v>0</v>
      </c>
      <c r="F48" s="665">
        <v>0</v>
      </c>
      <c r="G48" s="133" t="e">
        <f t="shared" si="2"/>
        <v>#REF!</v>
      </c>
      <c r="H48" s="134"/>
      <c r="I48" s="134"/>
      <c r="J48" s="135"/>
    </row>
    <row r="49" spans="1:10" ht="12.75">
      <c r="A49" s="131"/>
      <c r="B49" s="490" t="s">
        <v>519</v>
      </c>
      <c r="C49" s="483"/>
      <c r="D49" s="132"/>
      <c r="E49" s="665">
        <v>0</v>
      </c>
      <c r="F49" s="665">
        <v>0</v>
      </c>
      <c r="G49" s="133" t="e">
        <f t="shared" si="2"/>
        <v>#REF!</v>
      </c>
      <c r="H49" s="134"/>
      <c r="I49" s="134"/>
      <c r="J49" s="135"/>
    </row>
    <row r="50" spans="1:10" ht="12.75">
      <c r="A50" s="131"/>
      <c r="B50" s="490" t="s">
        <v>520</v>
      </c>
      <c r="C50" s="483"/>
      <c r="D50" s="132"/>
      <c r="E50" s="665">
        <v>0</v>
      </c>
      <c r="F50" s="665">
        <v>0</v>
      </c>
      <c r="G50" s="133" t="e">
        <f t="shared" si="2"/>
        <v>#REF!</v>
      </c>
      <c r="H50" s="134"/>
      <c r="I50" s="134"/>
      <c r="J50" s="135"/>
    </row>
    <row r="51" spans="1:17" ht="12.75">
      <c r="A51" s="131"/>
      <c r="B51" s="490" t="s">
        <v>521</v>
      </c>
      <c r="C51" s="483"/>
      <c r="D51" s="132"/>
      <c r="E51" s="215">
        <v>-162460</v>
      </c>
      <c r="F51" s="215">
        <v>-156764</v>
      </c>
      <c r="G51" s="133" t="e">
        <f t="shared" si="2"/>
        <v>#REF!</v>
      </c>
      <c r="H51" s="134"/>
      <c r="I51" s="134"/>
      <c r="J51" s="135"/>
      <c r="Q51" s="184"/>
    </row>
    <row r="52" spans="1:10" ht="12.75">
      <c r="A52" s="131"/>
      <c r="B52" s="489" t="s">
        <v>522</v>
      </c>
      <c r="C52" s="146"/>
      <c r="D52" s="132"/>
      <c r="E52" s="215">
        <v>0</v>
      </c>
      <c r="F52" s="215">
        <v>0</v>
      </c>
      <c r="G52" s="133" t="e">
        <f t="shared" si="2"/>
        <v>#REF!</v>
      </c>
      <c r="H52" s="134"/>
      <c r="I52" s="134"/>
      <c r="J52" s="135"/>
    </row>
    <row r="53" spans="1:11" ht="12.75">
      <c r="A53" s="131">
        <v>7</v>
      </c>
      <c r="B53" s="489" t="s">
        <v>523</v>
      </c>
      <c r="C53" s="146">
        <v>0</v>
      </c>
      <c r="D53" s="132"/>
      <c r="E53" s="215">
        <v>-8706</v>
      </c>
      <c r="F53" s="215">
        <v>-9750</v>
      </c>
      <c r="G53" s="133" t="e">
        <f t="shared" si="2"/>
        <v>#REF!</v>
      </c>
      <c r="H53" s="134"/>
      <c r="I53" s="134"/>
      <c r="J53" s="135"/>
      <c r="K53" s="134"/>
    </row>
    <row r="54" spans="1:9" ht="12.75">
      <c r="A54" s="131">
        <v>8</v>
      </c>
      <c r="B54" s="489" t="s">
        <v>524</v>
      </c>
      <c r="C54" s="146"/>
      <c r="D54" s="132"/>
      <c r="E54" s="215"/>
      <c r="F54" s="665"/>
      <c r="G54" s="133" t="e">
        <f t="shared" si="2"/>
        <v>#REF!</v>
      </c>
      <c r="H54" s="134"/>
      <c r="I54" s="134"/>
    </row>
    <row r="55" spans="1:9" ht="12.75">
      <c r="A55" s="500">
        <v>9</v>
      </c>
      <c r="B55" s="494" t="s">
        <v>523</v>
      </c>
      <c r="C55" s="146"/>
      <c r="D55" s="132"/>
      <c r="E55" s="670"/>
      <c r="F55" s="670"/>
      <c r="G55" s="133"/>
      <c r="H55" s="134"/>
      <c r="I55" s="134"/>
    </row>
    <row r="56" spans="1:17" ht="12.75">
      <c r="A56" s="130"/>
      <c r="B56" s="495" t="s">
        <v>525</v>
      </c>
      <c r="C56" s="142">
        <f>SUM(C26:C54)</f>
        <v>-23218819096</v>
      </c>
      <c r="D56" s="141"/>
      <c r="E56" s="215">
        <f>SUM(E26:E54)</f>
        <v>-12100641</v>
      </c>
      <c r="F56" s="215">
        <f>SUM(F26:F54)</f>
        <v>-12311706</v>
      </c>
      <c r="G56" s="133" t="e">
        <f t="shared" si="2"/>
        <v>#REF!</v>
      </c>
      <c r="H56" s="134" t="e">
        <v>#REF!</v>
      </c>
      <c r="I56" s="134">
        <v>33698092798</v>
      </c>
      <c r="Q56" s="184"/>
    </row>
    <row r="57" spans="1:11" ht="12.75">
      <c r="A57" s="130"/>
      <c r="B57" s="489"/>
      <c r="C57" s="146"/>
      <c r="D57" s="132"/>
      <c r="E57" s="665"/>
      <c r="F57" s="665"/>
      <c r="G57" s="133" t="e">
        <f t="shared" si="2"/>
        <v>#REF!</v>
      </c>
      <c r="H57" s="134" t="e">
        <v>#REF!</v>
      </c>
      <c r="I57" s="134">
        <f>+I56+F56+F64</f>
        <v>33685781092</v>
      </c>
      <c r="J57" s="135"/>
      <c r="K57" s="134"/>
    </row>
    <row r="58" spans="1:9" ht="22.5" thickBot="1">
      <c r="A58" s="130"/>
      <c r="B58" s="581" t="s">
        <v>526</v>
      </c>
      <c r="C58" s="143">
        <f>+C22+C56</f>
        <v>-23218819096</v>
      </c>
      <c r="D58" s="144"/>
      <c r="E58" s="671">
        <f>SUM(E22+E56)</f>
        <v>367126</v>
      </c>
      <c r="F58" s="671">
        <f>SUM(F22+F56)</f>
        <v>78823</v>
      </c>
      <c r="G58" s="133" t="e">
        <f t="shared" si="2"/>
        <v>#REF!</v>
      </c>
      <c r="H58" s="134"/>
      <c r="I58" s="134"/>
    </row>
    <row r="59" spans="1:193" s="126" customFormat="1" ht="33" thickBot="1" thickTop="1">
      <c r="A59" s="605"/>
      <c r="B59" s="606"/>
      <c r="C59" s="607" t="s">
        <v>477</v>
      </c>
      <c r="D59" s="608" t="s">
        <v>478</v>
      </c>
      <c r="E59" s="663" t="s">
        <v>848</v>
      </c>
      <c r="F59" s="663" t="s">
        <v>122</v>
      </c>
      <c r="G59" s="121"/>
      <c r="H59" s="122"/>
      <c r="I59" s="122"/>
      <c r="J59" s="123"/>
      <c r="K59" s="123"/>
      <c r="L59" s="123"/>
      <c r="M59" s="124"/>
      <c r="N59" s="124"/>
      <c r="O59" s="124"/>
      <c r="P59" s="124"/>
      <c r="Q59" s="124"/>
      <c r="R59" s="125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  <c r="CA59" s="124"/>
      <c r="CB59" s="124"/>
      <c r="CC59" s="124"/>
      <c r="CD59" s="124"/>
      <c r="CE59" s="124"/>
      <c r="CF59" s="124"/>
      <c r="CG59" s="124"/>
      <c r="CH59" s="124"/>
      <c r="CI59" s="124"/>
      <c r="CJ59" s="124"/>
      <c r="CK59" s="124"/>
      <c r="CL59" s="124"/>
      <c r="CM59" s="124"/>
      <c r="CN59" s="124"/>
      <c r="CO59" s="124"/>
      <c r="CP59" s="124"/>
      <c r="CQ59" s="124"/>
      <c r="CR59" s="124"/>
      <c r="CS59" s="124"/>
      <c r="CT59" s="124"/>
      <c r="CU59" s="124"/>
      <c r="CV59" s="124"/>
      <c r="CW59" s="124"/>
      <c r="CX59" s="124"/>
      <c r="CY59" s="124"/>
      <c r="CZ59" s="124"/>
      <c r="DA59" s="124"/>
      <c r="DB59" s="124"/>
      <c r="DC59" s="124"/>
      <c r="DD59" s="124"/>
      <c r="DE59" s="124"/>
      <c r="DF59" s="124"/>
      <c r="DG59" s="124"/>
      <c r="DH59" s="124"/>
      <c r="DI59" s="124"/>
      <c r="DJ59" s="124"/>
      <c r="DK59" s="124"/>
      <c r="DL59" s="124"/>
      <c r="DM59" s="124"/>
      <c r="DN59" s="124"/>
      <c r="DO59" s="124"/>
      <c r="DP59" s="124"/>
      <c r="DQ59" s="124"/>
      <c r="DR59" s="124"/>
      <c r="DS59" s="124"/>
      <c r="DT59" s="124"/>
      <c r="DU59" s="124"/>
      <c r="DV59" s="124"/>
      <c r="DW59" s="124"/>
      <c r="DX59" s="124"/>
      <c r="DY59" s="124"/>
      <c r="DZ59" s="124"/>
      <c r="EA59" s="124"/>
      <c r="EB59" s="124"/>
      <c r="EC59" s="124"/>
      <c r="ED59" s="124"/>
      <c r="EE59" s="124"/>
      <c r="EF59" s="124"/>
      <c r="EG59" s="124"/>
      <c r="EH59" s="124"/>
      <c r="EI59" s="124"/>
      <c r="EJ59" s="124"/>
      <c r="EK59" s="124"/>
      <c r="EL59" s="124"/>
      <c r="EM59" s="124"/>
      <c r="EN59" s="124"/>
      <c r="EO59" s="124"/>
      <c r="EP59" s="124"/>
      <c r="EQ59" s="124"/>
      <c r="ER59" s="124"/>
      <c r="ES59" s="124"/>
      <c r="ET59" s="124"/>
      <c r="EU59" s="124"/>
      <c r="EV59" s="124"/>
      <c r="EW59" s="124"/>
      <c r="EX59" s="124"/>
      <c r="EY59" s="124"/>
      <c r="EZ59" s="124"/>
      <c r="FA59" s="124"/>
      <c r="FB59" s="124"/>
      <c r="FC59" s="124"/>
      <c r="FD59" s="124"/>
      <c r="FE59" s="124"/>
      <c r="FF59" s="124"/>
      <c r="FG59" s="124"/>
      <c r="FH59" s="124"/>
      <c r="FI59" s="124"/>
      <c r="FJ59" s="124"/>
      <c r="FK59" s="124"/>
      <c r="FL59" s="124"/>
      <c r="FM59" s="124"/>
      <c r="FN59" s="124"/>
      <c r="FO59" s="124"/>
      <c r="FP59" s="124"/>
      <c r="FQ59" s="124"/>
      <c r="FR59" s="124"/>
      <c r="FS59" s="124"/>
      <c r="FT59" s="124"/>
      <c r="FU59" s="124"/>
      <c r="FV59" s="124"/>
      <c r="FW59" s="124"/>
      <c r="FX59" s="124"/>
      <c r="FY59" s="124"/>
      <c r="FZ59" s="124"/>
      <c r="GA59" s="124"/>
      <c r="GB59" s="124"/>
      <c r="GC59" s="124"/>
      <c r="GD59" s="124"/>
      <c r="GE59" s="124"/>
      <c r="GF59" s="124"/>
      <c r="GG59" s="124"/>
      <c r="GH59" s="124"/>
      <c r="GI59" s="124"/>
      <c r="GJ59" s="124"/>
      <c r="GK59" s="124"/>
    </row>
    <row r="60" spans="1:9" ht="12.75">
      <c r="A60" s="411" t="s">
        <v>527</v>
      </c>
      <c r="B60" s="496" t="s">
        <v>528</v>
      </c>
      <c r="C60" s="487"/>
      <c r="D60" s="412"/>
      <c r="E60" s="672"/>
      <c r="F60" s="672"/>
      <c r="G60" s="133" t="e">
        <f t="shared" si="2"/>
        <v>#REF!</v>
      </c>
      <c r="H60" s="134"/>
      <c r="I60" s="134"/>
    </row>
    <row r="61" spans="1:11" ht="12.75">
      <c r="A61" s="131">
        <v>1</v>
      </c>
      <c r="B61" s="497" t="s">
        <v>529</v>
      </c>
      <c r="C61" s="145">
        <v>0</v>
      </c>
      <c r="D61" s="132"/>
      <c r="E61" s="665"/>
      <c r="F61" s="665"/>
      <c r="G61" s="133" t="e">
        <f t="shared" si="2"/>
        <v>#REF!</v>
      </c>
      <c r="H61" s="134"/>
      <c r="I61" s="134"/>
      <c r="J61" s="135"/>
      <c r="K61" s="134"/>
    </row>
    <row r="62" spans="1:9" ht="12.75">
      <c r="A62" s="131">
        <v>2</v>
      </c>
      <c r="B62" s="498" t="s">
        <v>530</v>
      </c>
      <c r="C62" s="146">
        <v>2166</v>
      </c>
      <c r="D62" s="132"/>
      <c r="E62" s="665"/>
      <c r="F62" s="665"/>
      <c r="G62" s="133" t="e">
        <f t="shared" si="2"/>
        <v>#REF!</v>
      </c>
      <c r="H62" s="134"/>
      <c r="I62" s="134"/>
    </row>
    <row r="63" spans="1:9" ht="12.75">
      <c r="A63" s="131"/>
      <c r="B63" s="495"/>
      <c r="C63" s="147"/>
      <c r="D63" s="128"/>
      <c r="E63" s="664"/>
      <c r="F63" s="664"/>
      <c r="G63" s="133" t="e">
        <f t="shared" si="2"/>
        <v>#REF!</v>
      </c>
      <c r="H63" s="134"/>
      <c r="I63" s="134"/>
    </row>
    <row r="64" spans="1:8" ht="12.75">
      <c r="A64" s="130"/>
      <c r="B64" s="151" t="s">
        <v>531</v>
      </c>
      <c r="C64" s="137">
        <f>SUM(C61:C63)</f>
        <v>2166</v>
      </c>
      <c r="D64" s="148"/>
      <c r="E64" s="665">
        <f>SUM(E61:E63)</f>
        <v>0</v>
      </c>
      <c r="F64" s="665">
        <f>SUM(F61:F63)</f>
        <v>0</v>
      </c>
      <c r="G64" s="133" t="e">
        <f t="shared" si="2"/>
        <v>#REF!</v>
      </c>
      <c r="H64" s="111"/>
    </row>
    <row r="65" spans="1:8" ht="12.75">
      <c r="A65" s="130"/>
      <c r="B65" s="151"/>
      <c r="C65" s="137"/>
      <c r="D65" s="148"/>
      <c r="E65" s="665"/>
      <c r="F65" s="665"/>
      <c r="G65" s="133" t="e">
        <f t="shared" si="2"/>
        <v>#REF!</v>
      </c>
      <c r="H65" s="111"/>
    </row>
    <row r="66" spans="1:8" ht="12.75">
      <c r="A66" s="130"/>
      <c r="B66" s="151"/>
      <c r="C66" s="137"/>
      <c r="D66" s="148"/>
      <c r="E66" s="665"/>
      <c r="F66" s="665"/>
      <c r="G66" s="133" t="e">
        <f t="shared" si="2"/>
        <v>#REF!</v>
      </c>
      <c r="H66" s="111"/>
    </row>
    <row r="67" spans="1:18" ht="21.75">
      <c r="A67" s="130" t="s">
        <v>532</v>
      </c>
      <c r="B67" s="488" t="s">
        <v>533</v>
      </c>
      <c r="C67" s="137"/>
      <c r="D67" s="148"/>
      <c r="E67" s="665"/>
      <c r="F67" s="665"/>
      <c r="G67" s="133" t="e">
        <f t="shared" si="2"/>
        <v>#REF!</v>
      </c>
      <c r="H67" s="111"/>
      <c r="R67" s="116"/>
    </row>
    <row r="68" spans="1:8" ht="12.75">
      <c r="A68" s="130"/>
      <c r="B68" s="489"/>
      <c r="C68" s="137"/>
      <c r="D68" s="148"/>
      <c r="E68" s="665"/>
      <c r="F68" s="665"/>
      <c r="G68" s="133" t="e">
        <f t="shared" si="2"/>
        <v>#REF!</v>
      </c>
      <c r="H68" s="111"/>
    </row>
    <row r="69" spans="1:8" ht="12.75">
      <c r="A69" s="131">
        <v>1</v>
      </c>
      <c r="B69" s="489" t="s">
        <v>534</v>
      </c>
      <c r="C69" s="137"/>
      <c r="D69" s="148"/>
      <c r="E69" s="665"/>
      <c r="F69" s="665"/>
      <c r="G69" s="133" t="e">
        <f t="shared" si="2"/>
        <v>#REF!</v>
      </c>
      <c r="H69" s="111"/>
    </row>
    <row r="70" spans="1:8" ht="12.75">
      <c r="A70" s="149">
        <v>2</v>
      </c>
      <c r="B70" s="489" t="s">
        <v>535</v>
      </c>
      <c r="C70" s="137"/>
      <c r="D70" s="148"/>
      <c r="E70" s="665"/>
      <c r="F70" s="665"/>
      <c r="G70" s="133" t="e">
        <f t="shared" si="2"/>
        <v>#REF!</v>
      </c>
      <c r="H70" s="111"/>
    </row>
    <row r="71" spans="1:8" ht="12.75">
      <c r="A71" s="139"/>
      <c r="B71" s="489"/>
      <c r="C71" s="137"/>
      <c r="D71" s="148"/>
      <c r="E71" s="665"/>
      <c r="F71" s="665"/>
      <c r="G71" s="133" t="e">
        <f t="shared" si="2"/>
        <v>#REF!</v>
      </c>
      <c r="H71" s="111"/>
    </row>
    <row r="72" spans="1:8" ht="23.25" thickBot="1">
      <c r="A72" s="139"/>
      <c r="B72" s="489" t="s">
        <v>536</v>
      </c>
      <c r="C72" s="137"/>
      <c r="D72" s="148"/>
      <c r="E72" s="673">
        <f>SUM(E69:E70)</f>
        <v>0</v>
      </c>
      <c r="F72" s="673">
        <f>SUM(F69:F70)</f>
        <v>0</v>
      </c>
      <c r="G72" s="133" t="e">
        <f t="shared" si="2"/>
        <v>#REF!</v>
      </c>
      <c r="H72" s="111"/>
    </row>
    <row r="73" spans="1:8" ht="13.5" thickTop="1">
      <c r="A73" s="139"/>
      <c r="B73" s="489"/>
      <c r="C73" s="137"/>
      <c r="D73" s="148"/>
      <c r="E73" s="665"/>
      <c r="F73" s="665"/>
      <c r="G73" s="133" t="e">
        <f t="shared" si="2"/>
        <v>#REF!</v>
      </c>
      <c r="H73" s="111"/>
    </row>
    <row r="74" spans="1:8" ht="12.75">
      <c r="A74" s="139" t="s">
        <v>537</v>
      </c>
      <c r="B74" s="488" t="s">
        <v>457</v>
      </c>
      <c r="C74" s="137"/>
      <c r="D74" s="148"/>
      <c r="E74" s="665"/>
      <c r="F74" s="665"/>
      <c r="G74" s="133" t="e">
        <f t="shared" si="2"/>
        <v>#REF!</v>
      </c>
      <c r="H74" s="111"/>
    </row>
    <row r="75" spans="1:8" ht="12.75">
      <c r="A75" s="139"/>
      <c r="B75" s="151"/>
      <c r="C75" s="137"/>
      <c r="D75" s="148"/>
      <c r="E75" s="665"/>
      <c r="F75" s="665"/>
      <c r="G75" s="133" t="e">
        <f t="shared" si="2"/>
        <v>#REF!</v>
      </c>
      <c r="H75" s="111"/>
    </row>
    <row r="76" spans="1:8" ht="12.75">
      <c r="A76" s="149">
        <v>1</v>
      </c>
      <c r="B76" s="151" t="s">
        <v>538</v>
      </c>
      <c r="C76" s="137"/>
      <c r="D76" s="148"/>
      <c r="E76" s="665"/>
      <c r="F76" s="665"/>
      <c r="G76" s="133" t="e">
        <f t="shared" si="2"/>
        <v>#REF!</v>
      </c>
      <c r="H76" s="111"/>
    </row>
    <row r="77" spans="1:8" ht="12.75">
      <c r="A77" s="149"/>
      <c r="B77" s="489" t="s">
        <v>539</v>
      </c>
      <c r="C77" s="137"/>
      <c r="D77" s="148"/>
      <c r="E77" s="665">
        <v>0</v>
      </c>
      <c r="F77" s="665">
        <v>0</v>
      </c>
      <c r="G77" s="133" t="e">
        <f t="shared" si="2"/>
        <v>#REF!</v>
      </c>
      <c r="H77" s="111"/>
    </row>
    <row r="78" spans="1:8" ht="12.75">
      <c r="A78" s="149"/>
      <c r="B78" s="499" t="s">
        <v>540</v>
      </c>
      <c r="C78" s="137"/>
      <c r="D78" s="148"/>
      <c r="E78" s="665">
        <v>1767</v>
      </c>
      <c r="F78" s="665">
        <v>22588</v>
      </c>
      <c r="G78" s="133" t="e">
        <f t="shared" si="2"/>
        <v>#REF!</v>
      </c>
      <c r="H78" s="111"/>
    </row>
    <row r="79" spans="1:8" ht="12.75">
      <c r="A79" s="149"/>
      <c r="B79" s="499" t="s">
        <v>541</v>
      </c>
      <c r="C79" s="137"/>
      <c r="D79" s="148"/>
      <c r="E79" s="665">
        <v>10147</v>
      </c>
      <c r="F79" s="665">
        <v>56316</v>
      </c>
      <c r="G79" s="133" t="e">
        <f t="shared" si="2"/>
        <v>#REF!</v>
      </c>
      <c r="H79" s="111"/>
    </row>
    <row r="80" spans="1:8" ht="12.75">
      <c r="A80" s="149">
        <v>2</v>
      </c>
      <c r="B80" s="499" t="s">
        <v>530</v>
      </c>
      <c r="C80" s="137"/>
      <c r="D80" s="148"/>
      <c r="E80" s="674"/>
      <c r="F80" s="674"/>
      <c r="G80" s="133" t="e">
        <f t="shared" si="2"/>
        <v>#REF!</v>
      </c>
      <c r="H80" s="111"/>
    </row>
    <row r="81" spans="1:8" ht="12.75">
      <c r="A81" s="149"/>
      <c r="B81" s="499" t="s">
        <v>542</v>
      </c>
      <c r="C81" s="137"/>
      <c r="D81" s="148"/>
      <c r="E81" s="674">
        <v>0</v>
      </c>
      <c r="F81" s="674">
        <v>0</v>
      </c>
      <c r="G81" s="133" t="e">
        <f t="shared" si="2"/>
        <v>#REF!</v>
      </c>
      <c r="H81" s="111"/>
    </row>
    <row r="82" spans="1:8" ht="12.75">
      <c r="A82" s="149"/>
      <c r="B82" s="499" t="s">
        <v>543</v>
      </c>
      <c r="C82" s="137"/>
      <c r="D82" s="148"/>
      <c r="E82" s="215">
        <v>-36129</v>
      </c>
      <c r="F82" s="215">
        <v>-848</v>
      </c>
      <c r="G82" s="133" t="e">
        <f t="shared" si="2"/>
        <v>#REF!</v>
      </c>
      <c r="H82" s="111"/>
    </row>
    <row r="83" spans="1:8" ht="12.75">
      <c r="A83" s="149"/>
      <c r="B83" s="499" t="s">
        <v>544</v>
      </c>
      <c r="C83" s="137"/>
      <c r="D83" s="148"/>
      <c r="E83" s="215">
        <v>0</v>
      </c>
      <c r="F83" s="215">
        <v>0</v>
      </c>
      <c r="G83" s="133" t="e">
        <f t="shared" si="2"/>
        <v>#REF!</v>
      </c>
      <c r="H83" s="111"/>
    </row>
    <row r="84" spans="1:8" ht="12.75">
      <c r="A84" s="139"/>
      <c r="B84" s="151"/>
      <c r="C84" s="137"/>
      <c r="D84" s="148"/>
      <c r="E84" s="215"/>
      <c r="F84" s="215"/>
      <c r="G84" s="133" t="e">
        <f t="shared" si="2"/>
        <v>#REF!</v>
      </c>
      <c r="H84" s="111"/>
    </row>
    <row r="85" spans="1:8" ht="13.5" thickBot="1">
      <c r="A85" s="150"/>
      <c r="B85" s="151" t="s">
        <v>545</v>
      </c>
      <c r="C85" s="137"/>
      <c r="D85" s="148"/>
      <c r="E85" s="215">
        <f>SUM(E77:E83)</f>
        <v>-24215</v>
      </c>
      <c r="F85" s="215">
        <f>SUM(F77:F83)</f>
        <v>78056</v>
      </c>
      <c r="G85" s="133" t="e">
        <f t="shared" si="2"/>
        <v>#REF!</v>
      </c>
      <c r="H85" s="111"/>
    </row>
    <row r="86" spans="1:9" ht="15.75" customHeight="1" thickBot="1" thickTop="1">
      <c r="A86" s="130"/>
      <c r="B86" s="185" t="s">
        <v>611</v>
      </c>
      <c r="C86" s="152">
        <f>+C22+C56+C64</f>
        <v>-23218816930</v>
      </c>
      <c r="D86" s="153"/>
      <c r="E86" s="675">
        <f>SUM(E58+E85+E64)</f>
        <v>342911</v>
      </c>
      <c r="F86" s="675">
        <f>SUM(F58+F85+F64)</f>
        <v>156879</v>
      </c>
      <c r="G86" s="133" t="e">
        <f>+#REF!-F86</f>
        <v>#REF!</v>
      </c>
      <c r="H86" s="134"/>
      <c r="I86" s="134"/>
    </row>
    <row r="87" spans="1:9" ht="15.75" customHeight="1">
      <c r="A87" s="130"/>
      <c r="B87" s="413"/>
      <c r="C87" s="137"/>
      <c r="D87" s="414"/>
      <c r="E87" s="676"/>
      <c r="F87" s="676"/>
      <c r="G87" s="133"/>
      <c r="H87" s="134"/>
      <c r="I87" s="134"/>
    </row>
    <row r="88" spans="1:18" s="156" customFormat="1" ht="11.25">
      <c r="A88" s="154"/>
      <c r="B88" s="227" t="s">
        <v>546</v>
      </c>
      <c r="C88" s="228"/>
      <c r="D88" s="229"/>
      <c r="E88" s="679">
        <v>-313908</v>
      </c>
      <c r="F88" s="679">
        <v>-109299</v>
      </c>
      <c r="G88" s="155"/>
      <c r="J88" s="157"/>
      <c r="K88" s="158"/>
      <c r="L88" s="158"/>
      <c r="R88" s="159"/>
    </row>
    <row r="89" spans="1:18" s="156" customFormat="1" ht="11.25">
      <c r="A89" s="154"/>
      <c r="B89" s="227"/>
      <c r="C89" s="228"/>
      <c r="D89" s="229"/>
      <c r="E89" s="677"/>
      <c r="F89" s="677"/>
      <c r="G89" s="155"/>
      <c r="J89" s="157"/>
      <c r="K89" s="158"/>
      <c r="L89" s="158"/>
      <c r="R89" s="159"/>
    </row>
    <row r="90" spans="1:18" s="156" customFormat="1" ht="12" thickBot="1">
      <c r="A90" s="160"/>
      <c r="B90" s="185" t="s">
        <v>612</v>
      </c>
      <c r="C90" s="161"/>
      <c r="D90" s="162"/>
      <c r="E90" s="678">
        <f>+E88+E86</f>
        <v>29003</v>
      </c>
      <c r="F90" s="678">
        <f>+F88+F86</f>
        <v>47580</v>
      </c>
      <c r="G90" s="155"/>
      <c r="J90" s="157"/>
      <c r="K90" s="158"/>
      <c r="L90" s="158"/>
      <c r="R90" s="159"/>
    </row>
    <row r="91" spans="1:18" s="156" customFormat="1" ht="11.25">
      <c r="A91" s="163"/>
      <c r="B91" s="157"/>
      <c r="C91" s="164"/>
      <c r="E91" s="159"/>
      <c r="F91" s="159"/>
      <c r="G91" s="155"/>
      <c r="J91" s="157"/>
      <c r="K91" s="158"/>
      <c r="L91" s="158"/>
      <c r="R91" s="159"/>
    </row>
    <row r="92" spans="1:18" s="156" customFormat="1" ht="11.25">
      <c r="A92" s="163"/>
      <c r="B92" s="157"/>
      <c r="C92" s="164"/>
      <c r="E92" s="159"/>
      <c r="F92" s="159"/>
      <c r="G92" s="155"/>
      <c r="J92" s="157"/>
      <c r="K92" s="158"/>
      <c r="L92" s="158"/>
      <c r="R92" s="159"/>
    </row>
    <row r="93" spans="1:18" s="156" customFormat="1" ht="11.25">
      <c r="A93" s="163"/>
      <c r="B93" s="157"/>
      <c r="C93" s="164"/>
      <c r="E93" s="159"/>
      <c r="F93" s="159"/>
      <c r="G93" s="155"/>
      <c r="J93" s="157"/>
      <c r="K93" s="158"/>
      <c r="L93" s="158"/>
      <c r="R93" s="159"/>
    </row>
  </sheetData>
  <mergeCells count="1">
    <mergeCell ref="A3:F3"/>
  </mergeCells>
  <printOptions/>
  <pageMargins left="0.75" right="0.75" top="1" bottom="1" header="0.5" footer="0.5"/>
  <pageSetup firstPageNumber="71" useFirstPageNumber="1" horizontalDpi="300" verticalDpi="300" orientation="portrait" paperSize="9" r:id="rId1"/>
  <headerFooter alignWithMargins="0">
    <oddHeader>&amp;CTabella N. I. 19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B2:D36"/>
  <sheetViews>
    <sheetView workbookViewId="0" topLeftCell="A24">
      <selection activeCell="C35" sqref="C35"/>
    </sheetView>
  </sheetViews>
  <sheetFormatPr defaultColWidth="9.140625" defaultRowHeight="12.75"/>
  <cols>
    <col min="1" max="1" width="9.140625" style="585" customWidth="1"/>
    <col min="2" max="2" width="61.140625" style="585" customWidth="1"/>
    <col min="3" max="4" width="25.57421875" style="585" customWidth="1"/>
    <col min="5" max="16384" width="9.140625" style="585" customWidth="1"/>
  </cols>
  <sheetData>
    <row r="2" ht="14.25">
      <c r="B2" s="586" t="s">
        <v>836</v>
      </c>
    </row>
    <row r="4" ht="15" thickBot="1"/>
    <row r="5" spans="2:4" ht="26.25" customHeight="1">
      <c r="B5" s="587" t="s">
        <v>821</v>
      </c>
      <c r="C5" s="588" t="s">
        <v>368</v>
      </c>
      <c r="D5" s="589" t="s">
        <v>23</v>
      </c>
    </row>
    <row r="6" spans="2:4" ht="14.25">
      <c r="B6" s="590"/>
      <c r="C6" s="591"/>
      <c r="D6" s="592"/>
    </row>
    <row r="7" spans="2:4" ht="14.25">
      <c r="B7" s="593" t="s">
        <v>822</v>
      </c>
      <c r="C7" s="591"/>
      <c r="D7" s="592"/>
    </row>
    <row r="8" spans="2:4" ht="14.25">
      <c r="B8" s="594" t="s">
        <v>755</v>
      </c>
      <c r="C8" s="610">
        <v>0</v>
      </c>
      <c r="D8" s="610">
        <v>0</v>
      </c>
    </row>
    <row r="9" spans="2:4" ht="14.25">
      <c r="B9" s="594" t="s">
        <v>154</v>
      </c>
      <c r="C9" s="610">
        <v>0</v>
      </c>
      <c r="D9" s="610">
        <v>0</v>
      </c>
    </row>
    <row r="10" spans="2:4" ht="14.25">
      <c r="B10" s="594" t="s">
        <v>823</v>
      </c>
      <c r="C10" s="610"/>
      <c r="D10" s="610"/>
    </row>
    <row r="11" spans="2:4" ht="14.25">
      <c r="B11" s="594" t="s">
        <v>758</v>
      </c>
      <c r="C11" s="610">
        <v>0</v>
      </c>
      <c r="D11" s="610">
        <v>0</v>
      </c>
    </row>
    <row r="12" spans="2:4" ht="14.25">
      <c r="B12" s="594" t="s">
        <v>152</v>
      </c>
      <c r="C12" s="610"/>
      <c r="D12" s="610"/>
    </row>
    <row r="13" spans="2:4" ht="14.25">
      <c r="B13" s="594" t="s">
        <v>824</v>
      </c>
      <c r="C13" s="610">
        <v>0</v>
      </c>
      <c r="D13" s="610">
        <v>0</v>
      </c>
    </row>
    <row r="14" spans="2:4" ht="14.25">
      <c r="B14" s="594" t="s">
        <v>825</v>
      </c>
      <c r="C14" s="610"/>
      <c r="D14" s="610"/>
    </row>
    <row r="15" spans="2:4" ht="14.25">
      <c r="B15" s="594" t="s">
        <v>826</v>
      </c>
      <c r="C15" s="610"/>
      <c r="D15" s="610"/>
    </row>
    <row r="16" spans="2:4" ht="14.25">
      <c r="B16" s="594" t="s">
        <v>153</v>
      </c>
      <c r="C16" s="610"/>
      <c r="D16" s="610"/>
    </row>
    <row r="17" spans="2:4" ht="14.25">
      <c r="B17" s="594" t="s">
        <v>757</v>
      </c>
      <c r="C17" s="610">
        <v>0</v>
      </c>
      <c r="D17" s="610">
        <v>0</v>
      </c>
    </row>
    <row r="18" spans="2:4" ht="14.25">
      <c r="B18" s="595" t="s">
        <v>827</v>
      </c>
      <c r="C18" s="611">
        <f>SUM(C8:C17)</f>
        <v>0</v>
      </c>
      <c r="D18" s="611">
        <f>SUM(D8:D17)</f>
        <v>0</v>
      </c>
    </row>
    <row r="19" spans="2:4" ht="14.25">
      <c r="B19" s="594"/>
      <c r="C19" s="612"/>
      <c r="D19" s="612"/>
    </row>
    <row r="20" spans="2:4" ht="14.25">
      <c r="B20" s="590"/>
      <c r="C20" s="612"/>
      <c r="D20" s="612"/>
    </row>
    <row r="21" spans="2:4" ht="14.25">
      <c r="B21" s="596" t="s">
        <v>828</v>
      </c>
      <c r="C21" s="612"/>
      <c r="D21" s="612"/>
    </row>
    <row r="22" spans="2:4" ht="14.25">
      <c r="B22" s="594" t="s">
        <v>155</v>
      </c>
      <c r="C22" s="610">
        <v>12377</v>
      </c>
      <c r="D22" s="610">
        <v>13220</v>
      </c>
    </row>
    <row r="23" spans="2:4" ht="14.25">
      <c r="B23" s="594" t="s">
        <v>829</v>
      </c>
      <c r="C23" s="610">
        <v>260350</v>
      </c>
      <c r="D23" s="610">
        <v>248478</v>
      </c>
    </row>
    <row r="24" spans="2:4" ht="14.25">
      <c r="B24" s="594" t="s">
        <v>830</v>
      </c>
      <c r="C24" s="610"/>
      <c r="D24" s="610"/>
    </row>
    <row r="25" spans="2:4" ht="14.25">
      <c r="B25" s="594" t="s">
        <v>831</v>
      </c>
      <c r="C25" s="610">
        <v>0</v>
      </c>
      <c r="D25" s="610">
        <v>0</v>
      </c>
    </row>
    <row r="26" spans="2:4" ht="14.25">
      <c r="B26" s="594" t="s">
        <v>832</v>
      </c>
      <c r="C26" s="610">
        <v>1002</v>
      </c>
      <c r="D26" s="610">
        <v>0</v>
      </c>
    </row>
    <row r="27" spans="2:4" ht="14.25">
      <c r="B27" s="594" t="s">
        <v>833</v>
      </c>
      <c r="C27" s="610">
        <v>12402</v>
      </c>
      <c r="D27" s="610">
        <v>0</v>
      </c>
    </row>
    <row r="28" spans="2:4" ht="14.25">
      <c r="B28" s="594" t="s">
        <v>834</v>
      </c>
      <c r="C28" s="610"/>
      <c r="D28" s="610"/>
    </row>
    <row r="29" spans="2:4" ht="14.25">
      <c r="B29" s="594" t="s">
        <v>787</v>
      </c>
      <c r="C29" s="610"/>
      <c r="D29" s="610"/>
    </row>
    <row r="30" spans="2:4" ht="14.25">
      <c r="B30" s="594" t="s">
        <v>158</v>
      </c>
      <c r="C30" s="610">
        <v>49246</v>
      </c>
      <c r="D30" s="610">
        <v>0</v>
      </c>
    </row>
    <row r="31" spans="2:4" ht="14.25">
      <c r="B31" s="594" t="s">
        <v>156</v>
      </c>
      <c r="C31" s="610">
        <v>569</v>
      </c>
      <c r="D31" s="610">
        <v>569</v>
      </c>
    </row>
    <row r="32" spans="2:4" ht="15" thickBot="1">
      <c r="B32" s="680" t="s">
        <v>835</v>
      </c>
      <c r="C32" s="613">
        <f>SUM(C22:C31)</f>
        <v>335946</v>
      </c>
      <c r="D32" s="613">
        <f>SUM(D22:D31)</f>
        <v>262267</v>
      </c>
    </row>
    <row r="34" spans="3:4" ht="14.25">
      <c r="C34" s="614"/>
      <c r="D34" s="609"/>
    </row>
    <row r="35" ht="14.25">
      <c r="C35" s="614"/>
    </row>
    <row r="36" ht="14.25">
      <c r="C36" s="61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8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21.28125" style="3" customWidth="1"/>
    <col min="2" max="2" width="13.28125" style="247" customWidth="1"/>
    <col min="3" max="3" width="11.8515625" style="247" customWidth="1"/>
    <col min="4" max="4" width="9.8515625" style="247" bestFit="1" customWidth="1"/>
    <col min="5" max="5" width="11.8515625" style="247" customWidth="1"/>
    <col min="6" max="6" width="14.00390625" style="3" bestFit="1" customWidth="1"/>
    <col min="7" max="7" width="10.7109375" style="71" customWidth="1"/>
    <col min="8" max="8" width="12.140625" style="71" customWidth="1"/>
    <col min="9" max="9" width="11.00390625" style="71" customWidth="1"/>
    <col min="10" max="10" width="8.140625" style="3" customWidth="1"/>
    <col min="11" max="11" width="7.140625" style="3" customWidth="1"/>
    <col min="12" max="12" width="11.8515625" style="71" customWidth="1"/>
    <col min="13" max="13" width="8.57421875" style="71" customWidth="1"/>
    <col min="14" max="14" width="12.8515625" style="3" customWidth="1"/>
    <col min="15" max="15" width="16.421875" style="252" customWidth="1"/>
    <col min="16" max="16" width="11.140625" style="3" bestFit="1" customWidth="1"/>
    <col min="17" max="17" width="17.140625" style="3" customWidth="1"/>
    <col min="18" max="16384" width="9.140625" style="3" customWidth="1"/>
  </cols>
  <sheetData>
    <row r="1" spans="2:15" s="1" customFormat="1" ht="12.75">
      <c r="B1" s="292"/>
      <c r="C1" s="292"/>
      <c r="D1" s="292"/>
      <c r="E1" s="292"/>
      <c r="G1" s="70"/>
      <c r="H1" s="70"/>
      <c r="I1" s="70"/>
      <c r="L1" s="70"/>
      <c r="M1" s="70"/>
      <c r="N1" s="415"/>
      <c r="O1" s="301"/>
    </row>
    <row r="2" spans="1:14" ht="11.25">
      <c r="A2" s="13" t="s">
        <v>241</v>
      </c>
      <c r="F2" s="252"/>
      <c r="G2" s="252"/>
      <c r="N2" s="239"/>
    </row>
    <row r="3" spans="6:8" ht="12" thickBot="1">
      <c r="F3" s="77"/>
      <c r="H3" s="252"/>
    </row>
    <row r="4" spans="1:15" s="2" customFormat="1" ht="13.5" customHeight="1" thickBot="1">
      <c r="A4" s="16" t="s">
        <v>242</v>
      </c>
      <c r="B4" s="248"/>
      <c r="C4" s="248"/>
      <c r="D4" s="248"/>
      <c r="E4" s="248"/>
      <c r="F4" s="17"/>
      <c r="G4" s="72"/>
      <c r="H4" s="72"/>
      <c r="I4" s="72"/>
      <c r="J4" s="17"/>
      <c r="K4" s="17"/>
      <c r="L4" s="72"/>
      <c r="M4" s="72"/>
      <c r="N4" s="18"/>
      <c r="O4" s="323"/>
    </row>
    <row r="5" spans="1:15" s="2" customFormat="1" ht="12" thickBot="1">
      <c r="A5" s="29"/>
      <c r="B5" s="328" t="s">
        <v>227</v>
      </c>
      <c r="C5" s="329"/>
      <c r="D5" s="330"/>
      <c r="E5" s="331"/>
      <c r="F5" s="32"/>
      <c r="G5" s="76" t="s">
        <v>228</v>
      </c>
      <c r="H5" s="76"/>
      <c r="I5" s="76"/>
      <c r="J5" s="33"/>
      <c r="K5" s="33"/>
      <c r="L5" s="76"/>
      <c r="M5" s="76"/>
      <c r="N5" s="34"/>
      <c r="O5" s="323"/>
    </row>
    <row r="6" spans="1:15" s="4" customFormat="1" ht="45">
      <c r="A6" s="35" t="s">
        <v>229</v>
      </c>
      <c r="B6" s="250" t="s">
        <v>426</v>
      </c>
      <c r="C6" s="250" t="s">
        <v>230</v>
      </c>
      <c r="D6" s="250" t="s">
        <v>231</v>
      </c>
      <c r="E6" s="250" t="s">
        <v>428</v>
      </c>
      <c r="F6" s="54" t="s">
        <v>232</v>
      </c>
      <c r="G6" s="74" t="s">
        <v>233</v>
      </c>
      <c r="H6" s="74" t="s">
        <v>437</v>
      </c>
      <c r="I6" s="74" t="s">
        <v>436</v>
      </c>
      <c r="J6" s="36" t="s">
        <v>230</v>
      </c>
      <c r="K6" s="36" t="s">
        <v>231</v>
      </c>
      <c r="L6" s="74" t="s">
        <v>438</v>
      </c>
      <c r="M6" s="348" t="s">
        <v>665</v>
      </c>
      <c r="N6" s="55" t="s">
        <v>235</v>
      </c>
      <c r="O6" s="324"/>
    </row>
    <row r="7" spans="1:15" s="264" customFormat="1" ht="11.25">
      <c r="A7" s="260"/>
      <c r="B7" s="332"/>
      <c r="C7" s="332"/>
      <c r="D7" s="332"/>
      <c r="E7" s="332"/>
      <c r="F7" s="265"/>
      <c r="G7" s="261"/>
      <c r="H7" s="261"/>
      <c r="I7" s="261"/>
      <c r="J7" s="206"/>
      <c r="K7" s="206"/>
      <c r="L7" s="261"/>
      <c r="M7" s="511"/>
      <c r="N7" s="266"/>
      <c r="O7" s="325"/>
    </row>
    <row r="8" spans="1:16" s="264" customFormat="1" ht="11.25">
      <c r="A8" s="260" t="s">
        <v>243</v>
      </c>
      <c r="B8" s="332">
        <v>46961</v>
      </c>
      <c r="C8" s="332"/>
      <c r="D8" s="332"/>
      <c r="E8" s="332"/>
      <c r="F8" s="262">
        <f>+B8+C8-D8-E8</f>
        <v>46961</v>
      </c>
      <c r="G8" s="261"/>
      <c r="H8" s="261"/>
      <c r="I8" s="261"/>
      <c r="J8" s="206"/>
      <c r="K8" s="206"/>
      <c r="L8" s="261"/>
      <c r="M8" s="261"/>
      <c r="N8" s="263">
        <f>+F8+G8+H8-I8+J8-K8-L8+M8</f>
        <v>46961</v>
      </c>
      <c r="O8" s="325"/>
      <c r="P8" s="335"/>
    </row>
    <row r="9" spans="1:16" s="264" customFormat="1" ht="11.25">
      <c r="A9" s="260"/>
      <c r="B9" s="332"/>
      <c r="C9" s="332"/>
      <c r="D9" s="332"/>
      <c r="E9" s="332"/>
      <c r="F9" s="265"/>
      <c r="G9" s="512"/>
      <c r="H9" s="261"/>
      <c r="I9" s="261"/>
      <c r="J9" s="206"/>
      <c r="K9" s="206"/>
      <c r="L9" s="261"/>
      <c r="M9" s="261"/>
      <c r="N9" s="266"/>
      <c r="O9" s="325"/>
      <c r="P9" s="335"/>
    </row>
    <row r="10" spans="1:18" s="264" customFormat="1" ht="11.25">
      <c r="A10" s="260" t="s">
        <v>684</v>
      </c>
      <c r="B10" s="332">
        <f>596233+363132+53555402+1529852+342049</f>
        <v>56386668</v>
      </c>
      <c r="C10" s="332"/>
      <c r="D10" s="332"/>
      <c r="E10" s="332">
        <f>1627791+18806319+1663558</f>
        <v>22097668</v>
      </c>
      <c r="F10" s="262">
        <f>+B10+C10-D10-E10</f>
        <v>34289000</v>
      </c>
      <c r="G10" s="261">
        <v>271314</v>
      </c>
      <c r="H10" s="261">
        <v>9400</v>
      </c>
      <c r="I10" s="261"/>
      <c r="J10" s="206"/>
      <c r="K10" s="261"/>
      <c r="L10" s="261">
        <v>1712194</v>
      </c>
      <c r="M10" s="261"/>
      <c r="N10" s="263">
        <f>+F10+G10+H10-I10+J10-K10-L10+M10</f>
        <v>32857520</v>
      </c>
      <c r="O10" s="325"/>
      <c r="P10" s="335"/>
      <c r="Q10" s="417"/>
      <c r="R10" s="417"/>
    </row>
    <row r="11" spans="1:17" s="264" customFormat="1" ht="11.25">
      <c r="A11" s="321"/>
      <c r="B11" s="332"/>
      <c r="C11" s="332"/>
      <c r="D11" s="332"/>
      <c r="E11" s="332"/>
      <c r="F11" s="262"/>
      <c r="G11" s="261"/>
      <c r="H11" s="261"/>
      <c r="I11" s="261"/>
      <c r="J11" s="206"/>
      <c r="K11" s="206"/>
      <c r="L11" s="261"/>
      <c r="M11" s="261"/>
      <c r="N11" s="266"/>
      <c r="O11" s="325"/>
      <c r="P11" s="335"/>
      <c r="Q11" s="395"/>
    </row>
    <row r="12" spans="1:17" s="264" customFormat="1" ht="11.25">
      <c r="A12" s="260" t="s">
        <v>245</v>
      </c>
      <c r="B12" s="332">
        <f>1523+160496+5528794+689</f>
        <v>5691502</v>
      </c>
      <c r="C12" s="332"/>
      <c r="D12" s="332"/>
      <c r="E12" s="332">
        <f>5229999+3255+5712</f>
        <v>5238966</v>
      </c>
      <c r="F12" s="262">
        <f>+B12+C12-D12-E12</f>
        <v>452536</v>
      </c>
      <c r="G12" s="261">
        <f>-3189+159670</f>
        <v>156481</v>
      </c>
      <c r="H12" s="261">
        <v>3189</v>
      </c>
      <c r="I12" s="261"/>
      <c r="J12" s="206"/>
      <c r="K12" s="206"/>
      <c r="L12" s="261">
        <v>9582</v>
      </c>
      <c r="M12" s="261"/>
      <c r="N12" s="263">
        <f>+F12+G12+H12-I12+J12-K12-L12+M12</f>
        <v>602624</v>
      </c>
      <c r="O12" s="325"/>
      <c r="P12" s="335"/>
      <c r="Q12" s="417"/>
    </row>
    <row r="13" spans="1:17" s="264" customFormat="1" ht="11.25">
      <c r="A13" s="260"/>
      <c r="B13" s="332"/>
      <c r="C13" s="332"/>
      <c r="D13" s="332"/>
      <c r="E13" s="332"/>
      <c r="F13" s="262"/>
      <c r="G13" s="261"/>
      <c r="H13" s="261"/>
      <c r="I13" s="261"/>
      <c r="J13" s="206"/>
      <c r="K13" s="206"/>
      <c r="L13" s="261"/>
      <c r="M13" s="261"/>
      <c r="N13" s="263"/>
      <c r="O13" s="325"/>
      <c r="P13" s="335"/>
      <c r="Q13" s="335"/>
    </row>
    <row r="14" spans="1:16" s="264" customFormat="1" ht="11.25">
      <c r="A14" s="260" t="s">
        <v>246</v>
      </c>
      <c r="B14" s="332">
        <f>7635558+101753-1619835</f>
        <v>6117476</v>
      </c>
      <c r="C14" s="332"/>
      <c r="D14" s="332"/>
      <c r="E14" s="332">
        <f>6410657+233914-1490490+1</f>
        <v>5154082</v>
      </c>
      <c r="F14" s="262">
        <f>+B14+C14-D14-E14</f>
        <v>963394</v>
      </c>
      <c r="G14" s="261">
        <v>131818</v>
      </c>
      <c r="H14" s="261"/>
      <c r="I14" s="261">
        <f>+E39</f>
        <v>3251</v>
      </c>
      <c r="J14" s="206"/>
      <c r="K14" s="206"/>
      <c r="L14" s="261">
        <v>223601</v>
      </c>
      <c r="M14" s="261">
        <v>1</v>
      </c>
      <c r="N14" s="263">
        <f>+F14+G14+H14-I14+J14-K14-L14+M14</f>
        <v>868361</v>
      </c>
      <c r="O14" s="325"/>
      <c r="P14" s="335"/>
    </row>
    <row r="15" spans="1:17" s="264" customFormat="1" ht="11.25">
      <c r="A15" s="260"/>
      <c r="B15" s="332"/>
      <c r="C15" s="332"/>
      <c r="D15" s="332"/>
      <c r="E15" s="332"/>
      <c r="F15" s="262"/>
      <c r="G15" s="261"/>
      <c r="H15" s="261"/>
      <c r="I15" s="261"/>
      <c r="J15" s="206"/>
      <c r="K15" s="206"/>
      <c r="L15" s="261"/>
      <c r="M15" s="261"/>
      <c r="N15" s="266"/>
      <c r="O15" s="325"/>
      <c r="P15" s="335"/>
      <c r="Q15" s="395"/>
    </row>
    <row r="16" spans="1:17" s="264" customFormat="1" ht="11.25">
      <c r="A16" s="260" t="s">
        <v>247</v>
      </c>
      <c r="B16" s="332">
        <f>-779950+4528486+251710+99146-94958</f>
        <v>4004434</v>
      </c>
      <c r="C16" s="332"/>
      <c r="D16" s="332"/>
      <c r="E16" s="332">
        <f>4299857-742785+269949+114702-92488</f>
        <v>3849235</v>
      </c>
      <c r="F16" s="262">
        <f>+B16+C16-D16-E16</f>
        <v>155199</v>
      </c>
      <c r="G16" s="261">
        <v>52479</v>
      </c>
      <c r="H16" s="261"/>
      <c r="I16" s="261">
        <f>+E41</f>
        <v>649</v>
      </c>
      <c r="J16" s="206"/>
      <c r="K16" s="206"/>
      <c r="L16" s="261">
        <v>80835</v>
      </c>
      <c r="M16" s="261"/>
      <c r="N16" s="263">
        <f>+F16+G16+H16-I16+J16-K16-L16+M16</f>
        <v>126194</v>
      </c>
      <c r="O16" s="325"/>
      <c r="P16" s="335"/>
      <c r="Q16" s="395"/>
    </row>
    <row r="17" spans="1:17" s="264" customFormat="1" ht="11.25">
      <c r="A17" s="260"/>
      <c r="B17" s="332"/>
      <c r="C17" s="332"/>
      <c r="D17" s="332"/>
      <c r="E17" s="332"/>
      <c r="F17" s="265"/>
      <c r="G17" s="261"/>
      <c r="H17" s="261"/>
      <c r="I17" s="261"/>
      <c r="J17" s="206"/>
      <c r="K17" s="206"/>
      <c r="L17" s="261"/>
      <c r="M17" s="261"/>
      <c r="N17" s="266"/>
      <c r="O17" s="325"/>
      <c r="P17" s="335"/>
      <c r="Q17" s="395"/>
    </row>
    <row r="18" spans="1:16" s="264" customFormat="1" ht="11.25">
      <c r="A18" s="260" t="s">
        <v>248</v>
      </c>
      <c r="B18" s="332">
        <f>-111416+1797314+383919+1422-115594</f>
        <v>1955645</v>
      </c>
      <c r="C18" s="332"/>
      <c r="D18" s="332"/>
      <c r="E18" s="332">
        <f>1639535-111416+132441+150014-115594</f>
        <v>1694980</v>
      </c>
      <c r="F18" s="262">
        <f>+B18+C18-D18-E18</f>
        <v>260665</v>
      </c>
      <c r="G18" s="261">
        <v>118511</v>
      </c>
      <c r="H18" s="261"/>
      <c r="I18" s="261"/>
      <c r="J18" s="206"/>
      <c r="K18" s="206"/>
      <c r="L18" s="261">
        <v>128859</v>
      </c>
      <c r="M18" s="261"/>
      <c r="N18" s="263">
        <f>+F18+G18+H18-I18+J18-K18-L18+M18</f>
        <v>250317</v>
      </c>
      <c r="O18" s="325"/>
      <c r="P18" s="335"/>
    </row>
    <row r="19" spans="1:16" s="264" customFormat="1" ht="11.25">
      <c r="A19" s="260"/>
      <c r="B19" s="332"/>
      <c r="C19" s="332"/>
      <c r="D19" s="332"/>
      <c r="E19" s="332"/>
      <c r="F19" s="262"/>
      <c r="G19" s="261"/>
      <c r="H19" s="261"/>
      <c r="I19" s="261"/>
      <c r="J19" s="206"/>
      <c r="K19" s="206"/>
      <c r="L19" s="261"/>
      <c r="M19" s="261"/>
      <c r="N19" s="266"/>
      <c r="O19" s="325"/>
      <c r="P19" s="335"/>
    </row>
    <row r="20" spans="1:16" s="264" customFormat="1" ht="11.25">
      <c r="A20" s="260" t="s">
        <v>249</v>
      </c>
      <c r="B20" s="332"/>
      <c r="C20" s="332"/>
      <c r="D20" s="332"/>
      <c r="E20" s="332"/>
      <c r="F20" s="262"/>
      <c r="G20" s="261"/>
      <c r="H20" s="261"/>
      <c r="I20" s="261"/>
      <c r="J20" s="206"/>
      <c r="K20" s="206"/>
      <c r="L20" s="261"/>
      <c r="M20" s="261"/>
      <c r="N20" s="263"/>
      <c r="O20" s="325"/>
      <c r="P20" s="335"/>
    </row>
    <row r="21" spans="1:17" s="264" customFormat="1" ht="11.25">
      <c r="A21" s="321" t="s">
        <v>651</v>
      </c>
      <c r="B21" s="332">
        <v>10013070</v>
      </c>
      <c r="C21" s="332"/>
      <c r="D21" s="332"/>
      <c r="E21" s="332">
        <f>-819116+9453624</f>
        <v>8634508</v>
      </c>
      <c r="F21" s="262">
        <f>+B21+C21-D21-E21</f>
        <v>1378562</v>
      </c>
      <c r="G21" s="261">
        <v>305201</v>
      </c>
      <c r="H21" s="261"/>
      <c r="I21" s="261">
        <f>+E45</f>
        <v>19161</v>
      </c>
      <c r="J21" s="206"/>
      <c r="K21" s="206"/>
      <c r="L21" s="261">
        <f>529083-L22</f>
        <v>377555</v>
      </c>
      <c r="M21" s="261">
        <v>-1</v>
      </c>
      <c r="N21" s="263">
        <f>+F21+G21+H21-I21+J21-K21-L21+M21</f>
        <v>1287046</v>
      </c>
      <c r="O21" s="325"/>
      <c r="P21" s="335"/>
      <c r="Q21" s="395"/>
    </row>
    <row r="22" spans="1:17" s="264" customFormat="1" ht="11.25">
      <c r="A22" s="321" t="s">
        <v>652</v>
      </c>
      <c r="B22" s="332">
        <v>3571643</v>
      </c>
      <c r="C22" s="332"/>
      <c r="D22" s="332"/>
      <c r="E22" s="332">
        <v>819116</v>
      </c>
      <c r="F22" s="262">
        <f>+B22+C22-D22-E22</f>
        <v>2752527</v>
      </c>
      <c r="G22" s="261">
        <v>159499</v>
      </c>
      <c r="H22" s="261">
        <v>112727</v>
      </c>
      <c r="I22" s="261"/>
      <c r="J22" s="206"/>
      <c r="K22" s="206"/>
      <c r="L22" s="261">
        <v>151528</v>
      </c>
      <c r="M22" s="261"/>
      <c r="N22" s="263">
        <f>+F22+G22+H22-I22+J22-K22-L22+M22</f>
        <v>2873225</v>
      </c>
      <c r="O22" s="325"/>
      <c r="P22" s="335"/>
      <c r="Q22" s="335"/>
    </row>
    <row r="23" spans="1:17" s="264" customFormat="1" ht="11.25">
      <c r="A23" s="260"/>
      <c r="B23" s="332"/>
      <c r="C23" s="332"/>
      <c r="D23" s="332"/>
      <c r="E23" s="332"/>
      <c r="F23" s="265"/>
      <c r="G23" s="261"/>
      <c r="H23" s="261"/>
      <c r="I23" s="261"/>
      <c r="J23" s="206"/>
      <c r="K23" s="206"/>
      <c r="L23" s="261"/>
      <c r="M23" s="261"/>
      <c r="N23" s="266"/>
      <c r="O23" s="325"/>
      <c r="P23" s="335"/>
      <c r="Q23" s="335"/>
    </row>
    <row r="24" spans="1:17" s="264" customFormat="1" ht="22.5">
      <c r="A24" s="356" t="s">
        <v>250</v>
      </c>
      <c r="B24" s="332">
        <f>530259-312049+101925-1</f>
        <v>320134</v>
      </c>
      <c r="C24" s="332"/>
      <c r="D24" s="332"/>
      <c r="E24" s="332"/>
      <c r="F24" s="262">
        <f>+B24+C24-D24-E24</f>
        <v>320134</v>
      </c>
      <c r="G24" s="261">
        <v>120428</v>
      </c>
      <c r="H24" s="261">
        <f>-112727-12589</f>
        <v>-125316</v>
      </c>
      <c r="I24" s="261"/>
      <c r="J24" s="206"/>
      <c r="K24" s="206"/>
      <c r="L24" s="261"/>
      <c r="M24" s="261"/>
      <c r="N24" s="263">
        <f>+F24+G24+H24-I24+J24-K24-L24+M24</f>
        <v>315246</v>
      </c>
      <c r="O24" s="325"/>
      <c r="P24" s="335"/>
      <c r="Q24" s="395"/>
    </row>
    <row r="25" spans="1:16" ht="11.25">
      <c r="A25" s="21"/>
      <c r="B25" s="251"/>
      <c r="C25" s="251"/>
      <c r="D25" s="251"/>
      <c r="E25" s="251"/>
      <c r="F25" s="262">
        <f>+B25+C25-D25-E25</f>
        <v>0</v>
      </c>
      <c r="G25" s="68"/>
      <c r="H25" s="68"/>
      <c r="I25" s="68"/>
      <c r="J25" s="9"/>
      <c r="K25" s="9"/>
      <c r="L25" s="68"/>
      <c r="M25" s="68"/>
      <c r="N25" s="263"/>
      <c r="O25" s="325"/>
      <c r="P25" s="335"/>
    </row>
    <row r="26" spans="1:16" ht="11.25">
      <c r="A26" s="5" t="s">
        <v>683</v>
      </c>
      <c r="B26" s="251"/>
      <c r="C26" s="251"/>
      <c r="D26" s="251"/>
      <c r="E26" s="251"/>
      <c r="F26" s="262">
        <f>+B26+C26-D26-E26</f>
        <v>0</v>
      </c>
      <c r="G26" s="68"/>
      <c r="H26" s="68"/>
      <c r="I26" s="68"/>
      <c r="J26" s="9"/>
      <c r="K26" s="9"/>
      <c r="L26" s="68"/>
      <c r="M26" s="182"/>
      <c r="N26" s="263">
        <f>+F26+G26+H26-I26+J26-K26-L26+M26</f>
        <v>0</v>
      </c>
      <c r="O26" s="325"/>
      <c r="P26" s="335"/>
    </row>
    <row r="27" spans="1:16" ht="12" thickBot="1">
      <c r="A27" s="276" t="s">
        <v>638</v>
      </c>
      <c r="B27" s="333">
        <f>SUM(B8:B24)</f>
        <v>88107533</v>
      </c>
      <c r="C27" s="333">
        <f aca="true" t="shared" si="0" ref="C27:K27">SUM(C8:C24)</f>
        <v>0</v>
      </c>
      <c r="D27" s="333">
        <f t="shared" si="0"/>
        <v>0</v>
      </c>
      <c r="E27" s="333">
        <f>SUM(E8:E24)</f>
        <v>47488555</v>
      </c>
      <c r="F27" s="80">
        <f>SUM(F7:F26)</f>
        <v>40618978</v>
      </c>
      <c r="G27" s="80">
        <f>SUM(G8:G24)</f>
        <v>1315731</v>
      </c>
      <c r="H27" s="80">
        <f>SUM(H8:H24)</f>
        <v>0</v>
      </c>
      <c r="I27" s="80">
        <f t="shared" si="0"/>
        <v>23061</v>
      </c>
      <c r="J27" s="80">
        <f t="shared" si="0"/>
        <v>0</v>
      </c>
      <c r="K27" s="80">
        <f t="shared" si="0"/>
        <v>0</v>
      </c>
      <c r="L27" s="80">
        <f>SUM(L8:L26)</f>
        <v>2684154</v>
      </c>
      <c r="M27" s="80">
        <f>SUM(M8:M26)</f>
        <v>0</v>
      </c>
      <c r="N27" s="80">
        <f>SUM(N7:N26)</f>
        <v>39227494</v>
      </c>
      <c r="P27" s="335"/>
    </row>
    <row r="28" spans="1:16" ht="11.25">
      <c r="A28" s="377"/>
      <c r="B28" s="258"/>
      <c r="C28" s="258"/>
      <c r="D28" s="258"/>
      <c r="E28" s="258"/>
      <c r="F28" s="174"/>
      <c r="G28" s="174"/>
      <c r="H28" s="174"/>
      <c r="I28" s="174"/>
      <c r="J28" s="174"/>
      <c r="K28" s="174"/>
      <c r="L28" s="174"/>
      <c r="M28" s="174"/>
      <c r="N28" s="174"/>
      <c r="P28" s="77"/>
    </row>
    <row r="29" spans="1:15" ht="12.75">
      <c r="A29" s="252"/>
      <c r="E29" s="273"/>
      <c r="F29" s="71"/>
      <c r="J29" s="71"/>
      <c r="K29" s="71"/>
      <c r="N29" s="71"/>
      <c r="O29" s="325"/>
    </row>
    <row r="30" spans="6:15" ht="11.25">
      <c r="F30" s="77"/>
      <c r="G30" s="325"/>
      <c r="H30" s="238"/>
      <c r="L30" s="325"/>
      <c r="N30" s="71"/>
      <c r="O30" s="325"/>
    </row>
    <row r="31" spans="1:15" ht="22.5">
      <c r="A31" s="327" t="s">
        <v>229</v>
      </c>
      <c r="B31" s="250" t="s">
        <v>437</v>
      </c>
      <c r="C31" s="250" t="s">
        <v>436</v>
      </c>
      <c r="D31" s="250" t="s">
        <v>655</v>
      </c>
      <c r="E31" s="250" t="s">
        <v>654</v>
      </c>
      <c r="F31" s="71"/>
      <c r="H31" s="174"/>
      <c r="I31" s="376"/>
      <c r="J31" s="71"/>
      <c r="K31" s="71"/>
      <c r="N31" s="71"/>
      <c r="O31" s="325"/>
    </row>
    <row r="32" spans="1:15" s="264" customFormat="1" ht="11.25">
      <c r="A32" s="206"/>
      <c r="B32" s="332"/>
      <c r="C32" s="332"/>
      <c r="D32" s="332"/>
      <c r="E32" s="332"/>
      <c r="F32" s="335"/>
      <c r="G32" s="267"/>
      <c r="H32" s="394"/>
      <c r="I32" s="267"/>
      <c r="K32" s="335"/>
      <c r="L32" s="267"/>
      <c r="M32" s="267"/>
      <c r="N32" s="325"/>
      <c r="O32" s="325"/>
    </row>
    <row r="33" spans="1:15" s="264" customFormat="1" ht="11.25">
      <c r="A33" s="260" t="s">
        <v>243</v>
      </c>
      <c r="B33" s="332"/>
      <c r="C33" s="332"/>
      <c r="D33" s="332"/>
      <c r="E33" s="332"/>
      <c r="F33" s="417"/>
      <c r="G33" s="267"/>
      <c r="H33" s="394"/>
      <c r="I33" s="267"/>
      <c r="L33" s="267"/>
      <c r="M33" s="267"/>
      <c r="N33" s="335"/>
      <c r="O33" s="325"/>
    </row>
    <row r="34" spans="1:15" s="264" customFormat="1" ht="11.25">
      <c r="A34" s="260"/>
      <c r="B34" s="332"/>
      <c r="C34" s="332"/>
      <c r="D34" s="332"/>
      <c r="E34" s="332"/>
      <c r="F34" s="417"/>
      <c r="G34" s="267"/>
      <c r="H34" s="394"/>
      <c r="I34" s="267"/>
      <c r="K34" s="335"/>
      <c r="L34" s="267"/>
      <c r="M34" s="267"/>
      <c r="N34" s="325"/>
      <c r="O34" s="325"/>
    </row>
    <row r="35" spans="1:15" s="264" customFormat="1" ht="11.25">
      <c r="A35" s="260" t="s">
        <v>244</v>
      </c>
      <c r="B35" s="332"/>
      <c r="C35" s="332"/>
      <c r="D35" s="332"/>
      <c r="E35" s="332">
        <f>+C35-D35</f>
        <v>0</v>
      </c>
      <c r="F35" s="417"/>
      <c r="G35" s="267"/>
      <c r="H35" s="394"/>
      <c r="I35" s="267"/>
      <c r="L35" s="267"/>
      <c r="M35" s="267"/>
      <c r="N35" s="335"/>
      <c r="O35" s="325"/>
    </row>
    <row r="36" spans="1:15" s="264" customFormat="1" ht="11.25">
      <c r="A36" s="260"/>
      <c r="B36" s="332"/>
      <c r="C36" s="332"/>
      <c r="D36" s="332"/>
      <c r="E36" s="332">
        <f>+C36-D36</f>
        <v>0</v>
      </c>
      <c r="F36" s="395"/>
      <c r="G36" s="267"/>
      <c r="H36" s="394"/>
      <c r="I36" s="267"/>
      <c r="L36" s="267"/>
      <c r="M36" s="267"/>
      <c r="N36" s="335"/>
      <c r="O36" s="325"/>
    </row>
    <row r="37" spans="1:15" s="264" customFormat="1" ht="11.25">
      <c r="A37" s="260" t="s">
        <v>245</v>
      </c>
      <c r="B37" s="332"/>
      <c r="C37" s="332"/>
      <c r="D37" s="332"/>
      <c r="E37" s="332">
        <f>+C37-D37</f>
        <v>0</v>
      </c>
      <c r="G37" s="267"/>
      <c r="H37" s="394"/>
      <c r="I37" s="267"/>
      <c r="L37" s="267"/>
      <c r="M37" s="267"/>
      <c r="N37" s="335"/>
      <c r="O37" s="325"/>
    </row>
    <row r="38" spans="1:15" s="264" customFormat="1" ht="11.25">
      <c r="A38" s="260"/>
      <c r="B38" s="332"/>
      <c r="C38" s="332"/>
      <c r="D38" s="332"/>
      <c r="E38" s="332"/>
      <c r="F38" s="395"/>
      <c r="G38" s="267"/>
      <c r="H38" s="394"/>
      <c r="I38" s="267"/>
      <c r="L38" s="267"/>
      <c r="M38" s="267"/>
      <c r="N38" s="335"/>
      <c r="O38" s="325"/>
    </row>
    <row r="39" spans="1:15" s="264" customFormat="1" ht="11.25">
      <c r="A39" s="260" t="s">
        <v>246</v>
      </c>
      <c r="B39" s="332"/>
      <c r="C39" s="261">
        <v>1956979</v>
      </c>
      <c r="D39" s="332">
        <v>1953728</v>
      </c>
      <c r="E39" s="332">
        <f>+C39-D39</f>
        <v>3251</v>
      </c>
      <c r="F39" s="417"/>
      <c r="G39" s="267"/>
      <c r="H39" s="394"/>
      <c r="I39" s="267"/>
      <c r="L39" s="267"/>
      <c r="M39" s="267"/>
      <c r="O39" s="325"/>
    </row>
    <row r="40" spans="1:15" s="264" customFormat="1" ht="11.25">
      <c r="A40" s="260"/>
      <c r="B40" s="332"/>
      <c r="C40" s="332"/>
      <c r="D40" s="332"/>
      <c r="E40" s="332"/>
      <c r="G40" s="267"/>
      <c r="H40" s="394"/>
      <c r="I40" s="267"/>
      <c r="L40" s="267"/>
      <c r="M40" s="267"/>
      <c r="N40" s="325"/>
      <c r="O40" s="325"/>
    </row>
    <row r="41" spans="1:15" s="264" customFormat="1" ht="11.25">
      <c r="A41" s="260" t="s">
        <v>247</v>
      </c>
      <c r="B41" s="332"/>
      <c r="C41" s="332">
        <v>376644</v>
      </c>
      <c r="D41" s="332">
        <v>375995</v>
      </c>
      <c r="E41" s="332">
        <f aca="true" t="shared" si="1" ref="E41:E47">+C41-D41</f>
        <v>649</v>
      </c>
      <c r="F41" s="417"/>
      <c r="G41" s="267"/>
      <c r="H41" s="394"/>
      <c r="I41" s="267"/>
      <c r="L41" s="267"/>
      <c r="M41" s="267"/>
      <c r="N41" s="635"/>
      <c r="O41" s="325"/>
    </row>
    <row r="42" spans="1:15" s="264" customFormat="1" ht="11.25">
      <c r="A42" s="260"/>
      <c r="B42" s="332"/>
      <c r="C42" s="332"/>
      <c r="D42" s="332"/>
      <c r="E42" s="332">
        <f t="shared" si="1"/>
        <v>0</v>
      </c>
      <c r="G42" s="267"/>
      <c r="H42" s="394"/>
      <c r="I42" s="267"/>
      <c r="L42" s="267"/>
      <c r="M42" s="267"/>
      <c r="O42" s="325"/>
    </row>
    <row r="43" spans="1:15" s="264" customFormat="1" ht="11.25">
      <c r="A43" s="260" t="s">
        <v>248</v>
      </c>
      <c r="B43" s="332"/>
      <c r="C43" s="332">
        <v>258645</v>
      </c>
      <c r="D43" s="332">
        <v>258645</v>
      </c>
      <c r="E43" s="332">
        <f t="shared" si="1"/>
        <v>0</v>
      </c>
      <c r="G43" s="267"/>
      <c r="H43" s="394"/>
      <c r="I43" s="267"/>
      <c r="L43" s="267"/>
      <c r="M43" s="267"/>
      <c r="O43" s="325"/>
    </row>
    <row r="44" spans="1:15" s="264" customFormat="1" ht="11.25">
      <c r="A44" s="260"/>
      <c r="B44" s="332"/>
      <c r="C44" s="332"/>
      <c r="D44" s="332"/>
      <c r="E44" s="332">
        <f t="shared" si="1"/>
        <v>0</v>
      </c>
      <c r="G44" s="267"/>
      <c r="H44" s="394"/>
      <c r="I44" s="267"/>
      <c r="L44" s="267"/>
      <c r="M44" s="267"/>
      <c r="N44" s="335"/>
      <c r="O44" s="325"/>
    </row>
    <row r="45" spans="1:15" s="264" customFormat="1" ht="11.25">
      <c r="A45" s="260" t="s">
        <v>249</v>
      </c>
      <c r="B45" s="332"/>
      <c r="C45" s="332">
        <v>2204381</v>
      </c>
      <c r="D45" s="332">
        <v>2185220</v>
      </c>
      <c r="E45" s="332">
        <f t="shared" si="1"/>
        <v>19161</v>
      </c>
      <c r="F45" s="417"/>
      <c r="G45" s="267"/>
      <c r="H45" s="513"/>
      <c r="I45" s="267"/>
      <c r="L45" s="267"/>
      <c r="M45" s="267"/>
      <c r="O45" s="325"/>
    </row>
    <row r="46" spans="1:15" s="264" customFormat="1" ht="11.25">
      <c r="A46" s="260"/>
      <c r="B46" s="332"/>
      <c r="C46" s="332"/>
      <c r="D46" s="332"/>
      <c r="E46" s="332">
        <f t="shared" si="1"/>
        <v>0</v>
      </c>
      <c r="G46" s="267"/>
      <c r="H46" s="394"/>
      <c r="I46" s="394"/>
      <c r="L46" s="267"/>
      <c r="M46" s="267"/>
      <c r="O46" s="325"/>
    </row>
    <row r="47" spans="1:15" s="298" customFormat="1" ht="12.75">
      <c r="A47" s="260" t="s">
        <v>250</v>
      </c>
      <c r="B47" s="332"/>
      <c r="C47" s="332"/>
      <c r="D47" s="332"/>
      <c r="E47" s="332">
        <f t="shared" si="1"/>
        <v>0</v>
      </c>
      <c r="F47" s="417"/>
      <c r="G47" s="267"/>
      <c r="H47" s="394"/>
      <c r="I47" s="394"/>
      <c r="J47" s="264"/>
      <c r="K47" s="264"/>
      <c r="L47" s="267"/>
      <c r="M47" s="267"/>
      <c r="N47" s="264"/>
      <c r="O47" s="454"/>
    </row>
    <row r="48" spans="1:10" ht="12" thickBot="1">
      <c r="A48" s="10"/>
      <c r="B48" s="280">
        <f>SUM(B35:B47)</f>
        <v>0</v>
      </c>
      <c r="C48" s="280">
        <f>SUM(C35:C47)</f>
        <v>4796649</v>
      </c>
      <c r="D48" s="280">
        <f>SUM(D35:D47)</f>
        <v>4773588</v>
      </c>
      <c r="E48" s="280">
        <f>SUM(E35:E47)</f>
        <v>23061</v>
      </c>
      <c r="H48" s="375"/>
      <c r="I48" s="375"/>
      <c r="J48" s="347"/>
    </row>
    <row r="49" spans="1:15" s="14" customFormat="1" ht="11.25">
      <c r="A49" s="3"/>
      <c r="B49" s="247"/>
      <c r="C49" s="247"/>
      <c r="D49" s="247"/>
      <c r="E49" s="247"/>
      <c r="F49" s="3"/>
      <c r="G49" s="267"/>
      <c r="H49" s="394"/>
      <c r="I49" s="252"/>
      <c r="J49" s="3"/>
      <c r="K49" s="3"/>
      <c r="L49" s="71"/>
      <c r="M49" s="71"/>
      <c r="N49" s="347"/>
      <c r="O49" s="326"/>
    </row>
    <row r="50" spans="1:15" s="14" customFormat="1" ht="11.25">
      <c r="A50" s="3"/>
      <c r="B50" s="247"/>
      <c r="C50" s="247"/>
      <c r="D50" s="247"/>
      <c r="E50" s="418"/>
      <c r="F50" s="264"/>
      <c r="G50" s="267"/>
      <c r="H50" s="394"/>
      <c r="I50" s="71"/>
      <c r="J50" s="77"/>
      <c r="K50" s="3"/>
      <c r="L50" s="71"/>
      <c r="M50" s="71"/>
      <c r="N50" s="3"/>
      <c r="O50" s="326"/>
    </row>
    <row r="51" spans="1:15" s="14" customFormat="1" ht="11.25">
      <c r="A51" s="3"/>
      <c r="B51" s="247"/>
      <c r="C51" s="247"/>
      <c r="D51" s="247"/>
      <c r="E51" s="247"/>
      <c r="F51" s="3"/>
      <c r="G51" s="71"/>
      <c r="H51" s="71"/>
      <c r="I51" s="71"/>
      <c r="J51" s="3"/>
      <c r="K51" s="3"/>
      <c r="L51" s="71"/>
      <c r="M51" s="71"/>
      <c r="N51" s="3"/>
      <c r="O51" s="326"/>
    </row>
    <row r="52" spans="1:15" s="14" customFormat="1" ht="11.25">
      <c r="A52" s="239"/>
      <c r="B52" s="247"/>
      <c r="C52" s="247"/>
      <c r="D52" s="247"/>
      <c r="E52" s="247"/>
      <c r="F52" s="3"/>
      <c r="G52" s="71"/>
      <c r="H52" s="71"/>
      <c r="I52" s="71"/>
      <c r="J52" s="3"/>
      <c r="K52" s="3"/>
      <c r="L52" s="71"/>
      <c r="M52" s="71"/>
      <c r="N52" s="3"/>
      <c r="O52" s="326"/>
    </row>
    <row r="53" spans="1:15" s="14" customFormat="1" ht="11.25">
      <c r="A53" s="239"/>
      <c r="B53" s="247"/>
      <c r="C53" s="247"/>
      <c r="D53" s="247"/>
      <c r="E53" s="247"/>
      <c r="F53" s="3"/>
      <c r="G53" s="71"/>
      <c r="H53" s="71"/>
      <c r="I53" s="71"/>
      <c r="J53" s="3"/>
      <c r="K53" s="3"/>
      <c r="L53" s="71"/>
      <c r="M53" s="71"/>
      <c r="N53" s="3"/>
      <c r="O53" s="326"/>
    </row>
    <row r="54" spans="1:15" s="14" customFormat="1" ht="11.25">
      <c r="A54" s="239"/>
      <c r="B54" s="247"/>
      <c r="C54" s="247"/>
      <c r="D54" s="247"/>
      <c r="E54" s="247"/>
      <c r="F54" s="3"/>
      <c r="G54" s="71"/>
      <c r="H54" s="71"/>
      <c r="I54" s="71"/>
      <c r="J54" s="3"/>
      <c r="K54" s="3"/>
      <c r="L54" s="71"/>
      <c r="M54" s="71"/>
      <c r="N54" s="3"/>
      <c r="O54" s="326"/>
    </row>
    <row r="55" spans="1:15" s="14" customFormat="1" ht="11.25">
      <c r="A55" s="3"/>
      <c r="B55" s="247"/>
      <c r="C55" s="247"/>
      <c r="D55" s="247"/>
      <c r="E55" s="247"/>
      <c r="F55" s="3"/>
      <c r="G55" s="71"/>
      <c r="H55" s="71"/>
      <c r="I55" s="71"/>
      <c r="J55" s="3"/>
      <c r="K55" s="3"/>
      <c r="L55" s="71"/>
      <c r="M55" s="71"/>
      <c r="N55" s="3"/>
      <c r="O55" s="326"/>
    </row>
    <row r="56" spans="1:15" s="14" customFormat="1" ht="11.25">
      <c r="A56" s="3"/>
      <c r="B56" s="247"/>
      <c r="C56" s="247"/>
      <c r="D56" s="247"/>
      <c r="E56" s="247"/>
      <c r="F56" s="3"/>
      <c r="G56" s="71"/>
      <c r="H56" s="252"/>
      <c r="I56" s="71"/>
      <c r="J56" s="3"/>
      <c r="K56" s="3"/>
      <c r="L56" s="71"/>
      <c r="M56" s="71"/>
      <c r="N56" s="3"/>
      <c r="O56" s="326"/>
    </row>
    <row r="57" spans="1:15" s="14" customFormat="1" ht="11.25">
      <c r="A57" s="3"/>
      <c r="B57" s="247"/>
      <c r="C57" s="247"/>
      <c r="D57" s="247"/>
      <c r="E57" s="247"/>
      <c r="F57" s="3"/>
      <c r="G57" s="71"/>
      <c r="H57" s="71"/>
      <c r="I57" s="71"/>
      <c r="J57" s="3"/>
      <c r="K57" s="3"/>
      <c r="L57" s="71"/>
      <c r="M57" s="71"/>
      <c r="N57" s="3"/>
      <c r="O57" s="326"/>
    </row>
    <row r="58" spans="1:15" s="14" customFormat="1" ht="11.25">
      <c r="A58" s="3"/>
      <c r="B58" s="247"/>
      <c r="C58" s="247"/>
      <c r="D58" s="247"/>
      <c r="E58" s="247"/>
      <c r="F58" s="3"/>
      <c r="G58" s="71"/>
      <c r="H58" s="71"/>
      <c r="I58" s="71"/>
      <c r="J58" s="3"/>
      <c r="K58" s="3"/>
      <c r="L58" s="71"/>
      <c r="M58" s="71"/>
      <c r="N58" s="3"/>
      <c r="O58" s="326"/>
    </row>
    <row r="59" spans="1:15" s="14" customFormat="1" ht="11.25">
      <c r="A59" s="3"/>
      <c r="B59" s="247"/>
      <c r="C59" s="247"/>
      <c r="D59" s="247"/>
      <c r="E59" s="247"/>
      <c r="F59" s="3"/>
      <c r="G59" s="71"/>
      <c r="H59" s="71"/>
      <c r="I59" s="71"/>
      <c r="J59" s="3"/>
      <c r="K59" s="3"/>
      <c r="L59" s="71"/>
      <c r="M59" s="71"/>
      <c r="N59" s="252"/>
      <c r="O59" s="326"/>
    </row>
    <row r="60" spans="1:15" s="14" customFormat="1" ht="11.25">
      <c r="A60" s="3"/>
      <c r="B60" s="247"/>
      <c r="C60" s="247"/>
      <c r="D60" s="247"/>
      <c r="E60" s="247"/>
      <c r="F60" s="3"/>
      <c r="G60" s="71"/>
      <c r="H60" s="71"/>
      <c r="I60" s="71"/>
      <c r="J60" s="3"/>
      <c r="K60" s="3"/>
      <c r="L60" s="71"/>
      <c r="M60" s="71"/>
      <c r="N60" s="3"/>
      <c r="O60" s="326"/>
    </row>
    <row r="61" spans="1:15" s="14" customFormat="1" ht="11.25">
      <c r="A61" s="3"/>
      <c r="B61" s="247"/>
      <c r="C61" s="247"/>
      <c r="D61" s="247"/>
      <c r="E61" s="247"/>
      <c r="F61" s="3"/>
      <c r="G61" s="71"/>
      <c r="H61" s="71"/>
      <c r="I61" s="71"/>
      <c r="J61" s="3"/>
      <c r="K61" s="3"/>
      <c r="L61" s="71"/>
      <c r="M61" s="71"/>
      <c r="N61" s="3"/>
      <c r="O61" s="326"/>
    </row>
    <row r="62" spans="1:15" s="14" customFormat="1" ht="11.25">
      <c r="A62" s="3"/>
      <c r="B62" s="247"/>
      <c r="C62" s="247"/>
      <c r="D62" s="247"/>
      <c r="E62" s="247"/>
      <c r="F62" s="3"/>
      <c r="G62" s="71"/>
      <c r="H62" s="71"/>
      <c r="I62" s="71"/>
      <c r="J62" s="3"/>
      <c r="K62" s="3"/>
      <c r="L62" s="71"/>
      <c r="M62" s="71"/>
      <c r="N62" s="252"/>
      <c r="O62" s="326"/>
    </row>
    <row r="63" spans="1:15" s="14" customFormat="1" ht="11.25">
      <c r="A63" s="3"/>
      <c r="B63" s="247"/>
      <c r="C63" s="247"/>
      <c r="D63" s="247"/>
      <c r="E63" s="247"/>
      <c r="F63" s="3"/>
      <c r="G63" s="71"/>
      <c r="H63" s="71"/>
      <c r="I63" s="71"/>
      <c r="J63" s="3"/>
      <c r="K63" s="3"/>
      <c r="L63" s="71"/>
      <c r="M63" s="71"/>
      <c r="N63" s="3"/>
      <c r="O63" s="326"/>
    </row>
    <row r="64" spans="1:15" s="14" customFormat="1" ht="11.25">
      <c r="A64" s="3"/>
      <c r="B64" s="247"/>
      <c r="C64" s="247"/>
      <c r="D64" s="247"/>
      <c r="E64" s="247"/>
      <c r="F64" s="3"/>
      <c r="G64" s="71"/>
      <c r="H64" s="71"/>
      <c r="I64" s="71"/>
      <c r="J64" s="3"/>
      <c r="K64" s="3"/>
      <c r="L64" s="71"/>
      <c r="M64" s="71"/>
      <c r="N64" s="3"/>
      <c r="O64" s="326"/>
    </row>
    <row r="65" spans="1:15" s="14" customFormat="1" ht="11.25">
      <c r="A65" s="3"/>
      <c r="B65" s="247"/>
      <c r="C65" s="247"/>
      <c r="D65" s="247">
        <v>4600</v>
      </c>
      <c r="E65" s="247"/>
      <c r="F65" s="3"/>
      <c r="G65" s="71"/>
      <c r="H65" s="71"/>
      <c r="I65" s="71"/>
      <c r="J65" s="3"/>
      <c r="K65" s="3"/>
      <c r="L65" s="71"/>
      <c r="M65" s="71"/>
      <c r="N65" s="3"/>
      <c r="O65" s="326"/>
    </row>
    <row r="66" spans="1:15" s="14" customFormat="1" ht="11.25">
      <c r="A66" s="3"/>
      <c r="B66" s="247"/>
      <c r="C66" s="247"/>
      <c r="D66" s="247">
        <v>1760</v>
      </c>
      <c r="E66" s="247"/>
      <c r="F66" s="3"/>
      <c r="G66" s="71"/>
      <c r="H66" s="71"/>
      <c r="I66" s="71"/>
      <c r="J66" s="3"/>
      <c r="K66" s="3"/>
      <c r="L66" s="71"/>
      <c r="M66" s="71"/>
      <c r="N66" s="3"/>
      <c r="O66" s="326"/>
    </row>
    <row r="67" spans="1:15" s="14" customFormat="1" ht="11.25">
      <c r="A67" s="3"/>
      <c r="B67" s="247"/>
      <c r="C67" s="247"/>
      <c r="D67" s="247">
        <v>5538.83</v>
      </c>
      <c r="E67" s="247"/>
      <c r="F67" s="3"/>
      <c r="G67" s="71"/>
      <c r="H67" s="71"/>
      <c r="I67" s="71"/>
      <c r="J67" s="3"/>
      <c r="K67" s="3"/>
      <c r="L67" s="71"/>
      <c r="M67" s="71"/>
      <c r="N67" s="3"/>
      <c r="O67" s="326"/>
    </row>
    <row r="68" ht="11.25">
      <c r="D68" s="247">
        <f>SUM(D65:D67)</f>
        <v>11898.83</v>
      </c>
    </row>
    <row r="74" ht="11.25">
      <c r="G74" s="71">
        <v>183899</v>
      </c>
    </row>
    <row r="75" ht="11.25">
      <c r="G75" s="71">
        <v>172000</v>
      </c>
    </row>
    <row r="76" ht="11.25">
      <c r="G76" s="71">
        <f>+G74-G75</f>
        <v>11899</v>
      </c>
    </row>
    <row r="77" ht="11.25">
      <c r="G77" s="71">
        <v>408171</v>
      </c>
    </row>
    <row r="78" ht="11.25">
      <c r="G78" s="71">
        <f>+G77-G76</f>
        <v>396272</v>
      </c>
    </row>
  </sheetData>
  <printOptions horizontalCentered="1" verticalCentered="1"/>
  <pageMargins left="0.2" right="0.17" top="0.32" bottom="0.39" header="0.17" footer="0.17"/>
  <pageSetup firstPageNumber="53" useFirstPageNumber="1" horizontalDpi="300" verticalDpi="300" orientation="landscape" paperSize="9" scale="90" r:id="rId1"/>
  <headerFooter alignWithMargins="0">
    <oddHeader>&amp;CTabella N.I.2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44.57421875" style="3" customWidth="1"/>
    <col min="2" max="4" width="15.7109375" style="3" customWidth="1"/>
    <col min="5" max="5" width="15.7109375" style="71" customWidth="1"/>
    <col min="6" max="6" width="15.7109375" style="3" customWidth="1"/>
    <col min="7" max="7" width="11.28125" style="3" customWidth="1"/>
    <col min="8" max="16384" width="9.140625" style="3" customWidth="1"/>
  </cols>
  <sheetData>
    <row r="1" ht="11.25">
      <c r="A1" s="13" t="s">
        <v>99</v>
      </c>
    </row>
    <row r="2" spans="7:8" ht="12" thickBot="1">
      <c r="G2" s="19"/>
      <c r="H2" s="19"/>
    </row>
    <row r="3" spans="1:8" ht="13.5" customHeight="1" thickBot="1">
      <c r="A3" s="16" t="s">
        <v>251</v>
      </c>
      <c r="B3" s="17"/>
      <c r="C3" s="17"/>
      <c r="D3" s="17"/>
      <c r="E3" s="72"/>
      <c r="F3" s="18"/>
      <c r="G3" s="25"/>
      <c r="H3" s="25"/>
    </row>
    <row r="4" spans="1:6" ht="24.75" customHeight="1">
      <c r="A4" s="40" t="s">
        <v>229</v>
      </c>
      <c r="B4" s="54" t="s">
        <v>232</v>
      </c>
      <c r="C4" s="36" t="s">
        <v>234</v>
      </c>
      <c r="D4" s="36" t="s">
        <v>252</v>
      </c>
      <c r="E4" s="74" t="s">
        <v>253</v>
      </c>
      <c r="F4" s="55" t="s">
        <v>235</v>
      </c>
    </row>
    <row r="5" spans="1:6" ht="11.25">
      <c r="A5" s="41"/>
      <c r="B5" s="11"/>
      <c r="C5" s="9"/>
      <c r="D5" s="9"/>
      <c r="E5" s="68"/>
      <c r="F5" s="6"/>
    </row>
    <row r="6" spans="1:6" ht="11.25">
      <c r="A6" s="41" t="s">
        <v>254</v>
      </c>
      <c r="B6" s="11"/>
      <c r="C6" s="9"/>
      <c r="D6" s="9"/>
      <c r="E6" s="68"/>
      <c r="F6" s="6"/>
    </row>
    <row r="7" spans="1:6" ht="11.25">
      <c r="A7" s="41" t="s">
        <v>255</v>
      </c>
      <c r="B7" s="69">
        <v>65814</v>
      </c>
      <c r="C7" s="9"/>
      <c r="D7" s="9"/>
      <c r="E7" s="68"/>
      <c r="F7" s="78">
        <f>+B7+D7-E7</f>
        <v>65814</v>
      </c>
    </row>
    <row r="8" spans="1:6" ht="11.25">
      <c r="A8" s="41" t="s">
        <v>256</v>
      </c>
      <c r="B8" s="69">
        <v>743490</v>
      </c>
      <c r="C8" s="9"/>
      <c r="D8" s="9"/>
      <c r="E8" s="68"/>
      <c r="F8" s="78">
        <f>+B8+D8-E8</f>
        <v>743490</v>
      </c>
    </row>
    <row r="9" spans="1:6" ht="11.25">
      <c r="A9" s="41" t="s">
        <v>257</v>
      </c>
      <c r="B9" s="69">
        <v>153240</v>
      </c>
      <c r="C9" s="9"/>
      <c r="D9" s="9"/>
      <c r="E9" s="68">
        <v>153240</v>
      </c>
      <c r="F9" s="78">
        <f>+B9+D9-E9</f>
        <v>0</v>
      </c>
    </row>
    <row r="10" spans="1:6" ht="11.25">
      <c r="A10" s="41"/>
      <c r="B10" s="69"/>
      <c r="C10" s="9"/>
      <c r="D10" s="9"/>
      <c r="E10" s="68"/>
      <c r="F10" s="6"/>
    </row>
    <row r="11" spans="1:6" ht="11.25">
      <c r="A11" s="41" t="s">
        <v>258</v>
      </c>
      <c r="B11" s="69"/>
      <c r="C11" s="9"/>
      <c r="D11" s="9"/>
      <c r="E11" s="68"/>
      <c r="F11" s="6"/>
    </row>
    <row r="12" spans="1:6" ht="11.25">
      <c r="A12" s="41" t="s">
        <v>255</v>
      </c>
      <c r="B12" s="69"/>
      <c r="C12" s="9"/>
      <c r="D12" s="9"/>
      <c r="E12" s="68"/>
      <c r="F12" s="6"/>
    </row>
    <row r="13" spans="1:6" ht="11.25">
      <c r="A13" s="41" t="s">
        <v>256</v>
      </c>
      <c r="B13" s="69"/>
      <c r="C13" s="9"/>
      <c r="D13" s="9"/>
      <c r="E13" s="68"/>
      <c r="F13" s="6"/>
    </row>
    <row r="14" spans="1:6" ht="11.25">
      <c r="A14" s="41" t="s">
        <v>257</v>
      </c>
      <c r="B14" s="69"/>
      <c r="C14" s="9"/>
      <c r="D14" s="9"/>
      <c r="E14" s="68"/>
      <c r="F14" s="6"/>
    </row>
    <row r="15" spans="1:6" ht="11.25">
      <c r="A15" s="41"/>
      <c r="B15" s="69"/>
      <c r="C15" s="9"/>
      <c r="D15" s="9"/>
      <c r="E15" s="68"/>
      <c r="F15" s="6"/>
    </row>
    <row r="16" spans="1:6" ht="11.25">
      <c r="A16" s="41" t="s">
        <v>259</v>
      </c>
      <c r="B16" s="69"/>
      <c r="C16" s="9"/>
      <c r="D16" s="9"/>
      <c r="E16" s="68"/>
      <c r="F16" s="6"/>
    </row>
    <row r="17" spans="1:6" ht="11.25">
      <c r="A17" s="41" t="s">
        <v>255</v>
      </c>
      <c r="B17" s="69"/>
      <c r="C17" s="9"/>
      <c r="D17" s="9"/>
      <c r="E17" s="68"/>
      <c r="F17" s="6"/>
    </row>
    <row r="18" spans="1:6" ht="11.25">
      <c r="A18" s="41" t="s">
        <v>256</v>
      </c>
      <c r="B18" s="68">
        <v>0</v>
      </c>
      <c r="C18" s="11"/>
      <c r="D18" s="11"/>
      <c r="E18" s="68"/>
      <c r="F18" s="78">
        <f>+B18+D18-E18</f>
        <v>0</v>
      </c>
    </row>
    <row r="19" spans="1:6" ht="11.25">
      <c r="A19" s="41" t="s">
        <v>257</v>
      </c>
      <c r="B19" s="68"/>
      <c r="C19" s="9"/>
      <c r="D19" s="11"/>
      <c r="E19" s="69"/>
      <c r="F19" s="6"/>
    </row>
    <row r="20" spans="1:6" ht="11.25">
      <c r="A20" s="41"/>
      <c r="B20" s="68"/>
      <c r="C20" s="9"/>
      <c r="D20" s="11"/>
      <c r="E20" s="69"/>
      <c r="F20" s="6"/>
    </row>
    <row r="21" spans="1:6" ht="11.25">
      <c r="A21" s="41"/>
      <c r="B21" s="68"/>
      <c r="C21" s="9"/>
      <c r="D21" s="11"/>
      <c r="E21" s="69"/>
      <c r="F21" s="6"/>
    </row>
    <row r="22" spans="1:6" ht="11.25">
      <c r="A22" s="41" t="s">
        <v>260</v>
      </c>
      <c r="B22" s="68">
        <v>0</v>
      </c>
      <c r="C22" s="9"/>
      <c r="D22" s="9"/>
      <c r="E22" s="68"/>
      <c r="F22" s="78">
        <f>+B22+D22-E22</f>
        <v>0</v>
      </c>
    </row>
    <row r="23" spans="1:6" ht="13.5" customHeight="1" thickBot="1">
      <c r="A23" s="46"/>
      <c r="B23" s="75">
        <v>962544</v>
      </c>
      <c r="C23" s="75">
        <f>SUM(C5:C22)</f>
        <v>0</v>
      </c>
      <c r="D23" s="75">
        <f>SUM(D5:D22)</f>
        <v>0</v>
      </c>
      <c r="E23" s="75">
        <f>SUM(E5:E22)</f>
        <v>153240</v>
      </c>
      <c r="F23" s="169">
        <f>SUM(F5:F22)</f>
        <v>809304</v>
      </c>
    </row>
    <row r="24" spans="2:5" ht="12.75">
      <c r="B24" s="233"/>
      <c r="E24" s="84"/>
    </row>
    <row r="26" s="14" customFormat="1" ht="11.25">
      <c r="E26" s="83"/>
    </row>
    <row r="27" s="14" customFormat="1" ht="11.25">
      <c r="E27" s="83"/>
    </row>
    <row r="28" s="14" customFormat="1" ht="11.25">
      <c r="E28" s="83"/>
    </row>
    <row r="29" s="14" customFormat="1" ht="11.25">
      <c r="E29" s="83"/>
    </row>
    <row r="30" s="14" customFormat="1" ht="11.25">
      <c r="E30" s="83"/>
    </row>
    <row r="31" s="14" customFormat="1" ht="11.25">
      <c r="E31" s="83"/>
    </row>
    <row r="32" s="14" customFormat="1" ht="11.25">
      <c r="E32" s="83"/>
    </row>
    <row r="33" s="14" customFormat="1" ht="11.25">
      <c r="E33" s="83"/>
    </row>
    <row r="34" s="14" customFormat="1" ht="11.25">
      <c r="E34" s="83"/>
    </row>
    <row r="35" s="14" customFormat="1" ht="11.25">
      <c r="E35" s="83"/>
    </row>
    <row r="36" s="14" customFormat="1" ht="11.25">
      <c r="E36" s="83"/>
    </row>
    <row r="37" s="14" customFormat="1" ht="11.25">
      <c r="E37" s="83"/>
    </row>
    <row r="38" s="14" customFormat="1" ht="11.25">
      <c r="E38" s="83"/>
    </row>
    <row r="39" s="14" customFormat="1" ht="11.25">
      <c r="E39" s="83"/>
    </row>
    <row r="40" s="14" customFormat="1" ht="11.25">
      <c r="E40" s="83"/>
    </row>
    <row r="41" s="14" customFormat="1" ht="11.25">
      <c r="E41" s="83"/>
    </row>
    <row r="42" s="14" customFormat="1" ht="11.25">
      <c r="E42" s="83"/>
    </row>
    <row r="43" s="14" customFormat="1" ht="11.25">
      <c r="E43" s="83"/>
    </row>
    <row r="44" s="14" customFormat="1" ht="11.25">
      <c r="E44" s="83"/>
    </row>
  </sheetData>
  <printOptions horizontalCentered="1" verticalCentered="1"/>
  <pageMargins left="0.2362204724409449" right="0.2362204724409449" top="0.984251968503937" bottom="0.984251968503937" header="0.5118110236220472" footer="0.5118110236220472"/>
  <pageSetup firstPageNumber="54" useFirstPageNumber="1" horizontalDpi="300" verticalDpi="300" orientation="landscape" paperSize="9" r:id="rId1"/>
  <headerFooter alignWithMargins="0">
    <oddHeader>&amp;CTabella N.I.3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showGridLines="0" workbookViewId="0" topLeftCell="A1">
      <selection activeCell="H30" sqref="H30"/>
    </sheetView>
  </sheetViews>
  <sheetFormatPr defaultColWidth="9.140625" defaultRowHeight="12.75"/>
  <cols>
    <col min="1" max="2" width="13.7109375" style="3" customWidth="1"/>
    <col min="3" max="3" width="15.7109375" style="3" customWidth="1"/>
    <col min="4" max="6" width="15.7109375" style="71" customWidth="1"/>
    <col min="7" max="7" width="9.421875" style="71" customWidth="1"/>
    <col min="8" max="8" width="15.7109375" style="71" customWidth="1"/>
    <col min="9" max="9" width="12.28125" style="243" customWidth="1"/>
    <col min="10" max="10" width="16.00390625" style="86" customWidth="1"/>
    <col min="11" max="11" width="10.7109375" style="3" bestFit="1" customWidth="1"/>
    <col min="12" max="12" width="9.421875" style="3" customWidth="1"/>
    <col min="13" max="13" width="9.140625" style="3" customWidth="1"/>
    <col min="14" max="14" width="11.28125" style="3" customWidth="1"/>
    <col min="15" max="16384" width="9.140625" style="3" customWidth="1"/>
  </cols>
  <sheetData>
    <row r="1" spans="1:10" s="14" customFormat="1" ht="12.75">
      <c r="A1" s="13" t="s">
        <v>100</v>
      </c>
      <c r="D1" s="83"/>
      <c r="E1" s="83"/>
      <c r="F1" s="83"/>
      <c r="G1" s="83"/>
      <c r="H1" s="83"/>
      <c r="I1" s="243"/>
      <c r="J1" s="217"/>
    </row>
    <row r="2" spans="4:10" s="14" customFormat="1" ht="13.5" thickBot="1">
      <c r="D2" s="273"/>
      <c r="E2" s="83"/>
      <c r="F2" s="83"/>
      <c r="G2" s="83"/>
      <c r="H2" s="83"/>
      <c r="I2" s="243"/>
      <c r="J2" s="217"/>
    </row>
    <row r="3" spans="1:10" s="14" customFormat="1" ht="13.5" customHeight="1" thickBot="1">
      <c r="A3" s="16" t="s">
        <v>261</v>
      </c>
      <c r="B3" s="17"/>
      <c r="C3" s="17"/>
      <c r="D3" s="72"/>
      <c r="E3" s="72"/>
      <c r="F3" s="72"/>
      <c r="G3" s="72"/>
      <c r="H3" s="165"/>
      <c r="I3" s="243"/>
      <c r="J3" s="217"/>
    </row>
    <row r="4" spans="1:10" s="14" customFormat="1" ht="33" customHeight="1">
      <c r="A4" s="234" t="s">
        <v>229</v>
      </c>
      <c r="B4" s="47"/>
      <c r="C4" s="391" t="s">
        <v>232</v>
      </c>
      <c r="D4" s="173" t="s">
        <v>234</v>
      </c>
      <c r="E4" s="173" t="s">
        <v>282</v>
      </c>
      <c r="F4" s="173" t="s">
        <v>253</v>
      </c>
      <c r="G4" s="348" t="s">
        <v>665</v>
      </c>
      <c r="H4" s="392" t="s">
        <v>235</v>
      </c>
      <c r="I4" s="243"/>
      <c r="J4" s="217"/>
    </row>
    <row r="5" spans="1:10" s="14" customFormat="1" ht="12.75">
      <c r="A5" s="5"/>
      <c r="B5" s="11"/>
      <c r="C5" s="9"/>
      <c r="D5" s="68"/>
      <c r="E5" s="69"/>
      <c r="F5" s="69"/>
      <c r="G5" s="174"/>
      <c r="H5" s="268"/>
      <c r="I5" s="243"/>
      <c r="J5" s="217"/>
    </row>
    <row r="6" spans="1:11" s="381" customFormat="1" ht="11.25">
      <c r="A6" s="260" t="s">
        <v>262</v>
      </c>
      <c r="B6" s="265"/>
      <c r="C6" s="261">
        <v>47623821</v>
      </c>
      <c r="D6" s="261"/>
      <c r="E6" s="261">
        <f>535097757-C6-C6</f>
        <v>439850115</v>
      </c>
      <c r="F6" s="334">
        <f>503376619-C6+127772.4+1</f>
        <v>455880571.4</v>
      </c>
      <c r="G6" s="355"/>
      <c r="H6" s="268">
        <f>+C6+D6+E6-F6+G6</f>
        <v>31593364.600000024</v>
      </c>
      <c r="I6" s="325"/>
      <c r="J6" s="189"/>
      <c r="K6" s="380"/>
    </row>
    <row r="7" spans="1:10" s="14" customFormat="1" ht="12.75">
      <c r="A7" s="5"/>
      <c r="B7" s="11"/>
      <c r="C7" s="68"/>
      <c r="D7" s="68"/>
      <c r="E7" s="69"/>
      <c r="F7" s="69"/>
      <c r="G7" s="174"/>
      <c r="H7" s="268"/>
      <c r="I7" s="243"/>
      <c r="J7" s="189"/>
    </row>
    <row r="8" spans="1:11" s="14" customFormat="1" ht="12.75">
      <c r="A8" s="5" t="s">
        <v>263</v>
      </c>
      <c r="B8" s="11"/>
      <c r="C8" s="68">
        <v>0</v>
      </c>
      <c r="D8" s="68"/>
      <c r="E8" s="69"/>
      <c r="F8" s="69"/>
      <c r="G8" s="174"/>
      <c r="H8" s="268">
        <f>+C8+D8+E8-F8</f>
        <v>0</v>
      </c>
      <c r="I8" s="243"/>
      <c r="J8" s="189"/>
      <c r="K8" s="223"/>
    </row>
    <row r="9" spans="1:11" s="14" customFormat="1" ht="12.75">
      <c r="A9" s="5"/>
      <c r="B9" s="11"/>
      <c r="C9" s="68"/>
      <c r="D9" s="68"/>
      <c r="E9" s="69"/>
      <c r="F9" s="69"/>
      <c r="G9" s="174"/>
      <c r="H9" s="268"/>
      <c r="I9" s="243"/>
      <c r="J9" s="189"/>
      <c r="K9" s="223"/>
    </row>
    <row r="10" spans="1:11" s="381" customFormat="1" ht="11.25">
      <c r="A10" s="260" t="s">
        <v>645</v>
      </c>
      <c r="B10" s="265"/>
      <c r="C10" s="261">
        <v>473379</v>
      </c>
      <c r="D10" s="261"/>
      <c r="E10" s="334"/>
      <c r="F10" s="334">
        <v>473379</v>
      </c>
      <c r="G10" s="355"/>
      <c r="H10" s="268">
        <f>+C10+D10+E10-F10</f>
        <v>0</v>
      </c>
      <c r="I10" s="189"/>
      <c r="J10" s="189"/>
      <c r="K10" s="380"/>
    </row>
    <row r="11" spans="1:10" s="14" customFormat="1" ht="12.75">
      <c r="A11" s="5"/>
      <c r="B11" s="11"/>
      <c r="C11" s="68"/>
      <c r="D11" s="68"/>
      <c r="E11" s="69"/>
      <c r="F11" s="69"/>
      <c r="G11" s="174"/>
      <c r="H11" s="268"/>
      <c r="I11" s="243"/>
      <c r="J11" s="189"/>
    </row>
    <row r="12" spans="1:11" s="14" customFormat="1" ht="11.25">
      <c r="A12" s="5" t="s">
        <v>264</v>
      </c>
      <c r="B12" s="11"/>
      <c r="C12" s="68">
        <v>349716.77</v>
      </c>
      <c r="D12" s="68"/>
      <c r="E12" s="69">
        <f>957080-C12-C12</f>
        <v>257646.45999999996</v>
      </c>
      <c r="F12" s="69">
        <f>673483-C12</f>
        <v>323766.23</v>
      </c>
      <c r="G12" s="174"/>
      <c r="H12" s="268">
        <f>+C12+D12+E12-F12</f>
        <v>283597</v>
      </c>
      <c r="I12" s="189"/>
      <c r="J12" s="189"/>
      <c r="K12" s="223"/>
    </row>
    <row r="13" spans="1:10" s="14" customFormat="1" ht="12.75">
      <c r="A13" s="5"/>
      <c r="B13" s="11"/>
      <c r="C13" s="68"/>
      <c r="D13" s="68"/>
      <c r="E13" s="69"/>
      <c r="F13" s="69"/>
      <c r="G13" s="174"/>
      <c r="H13" s="268"/>
      <c r="I13" s="243"/>
      <c r="J13" s="189"/>
    </row>
    <row r="14" spans="1:11" s="14" customFormat="1" ht="11.25">
      <c r="A14" s="5" t="s">
        <v>265</v>
      </c>
      <c r="B14" s="11"/>
      <c r="C14" s="68">
        <v>4688813</v>
      </c>
      <c r="D14" s="68"/>
      <c r="E14" s="69">
        <f>18570770-C14-C14</f>
        <v>9193144</v>
      </c>
      <c r="F14" s="69">
        <f>15036787-C14</f>
        <v>10347974</v>
      </c>
      <c r="G14" s="174"/>
      <c r="H14" s="268">
        <f>+C14+D14+E14-F14</f>
        <v>3533983</v>
      </c>
      <c r="I14" s="189"/>
      <c r="J14" s="189"/>
      <c r="K14" s="223"/>
    </row>
    <row r="15" spans="1:10" s="14" customFormat="1" ht="12.75">
      <c r="A15" s="5"/>
      <c r="B15" s="11"/>
      <c r="C15" s="68"/>
      <c r="D15" s="68"/>
      <c r="E15" s="69"/>
      <c r="F15" s="69"/>
      <c r="G15" s="174"/>
      <c r="H15" s="268"/>
      <c r="I15" s="243"/>
      <c r="J15" s="189"/>
    </row>
    <row r="16" spans="1:11" s="14" customFormat="1" ht="11.25">
      <c r="A16" s="5" t="s">
        <v>266</v>
      </c>
      <c r="B16" s="11"/>
      <c r="C16" s="68">
        <v>2910628</v>
      </c>
      <c r="D16" s="261"/>
      <c r="E16" s="334">
        <f>12507578-C16-C16</f>
        <v>6686322</v>
      </c>
      <c r="F16" s="334">
        <f>6951248-C16</f>
        <v>4040620</v>
      </c>
      <c r="G16" s="355"/>
      <c r="H16" s="268">
        <f>+C16+D16+E16-F16+G16</f>
        <v>5556330</v>
      </c>
      <c r="I16" s="189"/>
      <c r="J16" s="189"/>
      <c r="K16" s="223"/>
    </row>
    <row r="17" spans="1:10" s="14" customFormat="1" ht="12.75">
      <c r="A17" s="5"/>
      <c r="B17" s="11"/>
      <c r="C17" s="68"/>
      <c r="D17" s="68"/>
      <c r="E17" s="69"/>
      <c r="F17" s="69"/>
      <c r="G17" s="174"/>
      <c r="H17" s="268"/>
      <c r="I17" s="243"/>
      <c r="J17" s="189"/>
    </row>
    <row r="18" spans="1:11" ht="11.25">
      <c r="A18" s="5" t="s">
        <v>267</v>
      </c>
      <c r="B18" s="11"/>
      <c r="C18" s="68">
        <v>40575</v>
      </c>
      <c r="D18" s="68"/>
      <c r="E18" s="69">
        <f>94385-C18-C18</f>
        <v>13235</v>
      </c>
      <c r="F18" s="69">
        <f>63279-C18</f>
        <v>22704</v>
      </c>
      <c r="G18" s="174"/>
      <c r="H18" s="268">
        <f>+C18+D18+E18-F18</f>
        <v>31106</v>
      </c>
      <c r="I18" s="189"/>
      <c r="J18" s="189"/>
      <c r="K18" s="223"/>
    </row>
    <row r="19" spans="1:10" ht="12.75">
      <c r="A19" s="5"/>
      <c r="B19" s="11"/>
      <c r="C19" s="68"/>
      <c r="D19" s="68"/>
      <c r="E19" s="69"/>
      <c r="F19" s="69"/>
      <c r="G19" s="174"/>
      <c r="H19" s="268"/>
      <c r="J19" s="189"/>
    </row>
    <row r="20" spans="1:11" ht="11.25">
      <c r="A20" s="5" t="s">
        <v>268</v>
      </c>
      <c r="B20" s="11"/>
      <c r="C20" s="68">
        <v>226582</v>
      </c>
      <c r="D20" s="68"/>
      <c r="E20" s="69">
        <f>848737-C20-C20</f>
        <v>395573</v>
      </c>
      <c r="F20" s="69">
        <f>631584-C20</f>
        <v>405002</v>
      </c>
      <c r="G20" s="174"/>
      <c r="H20" s="268">
        <f>+C20+D20+E20-F20</f>
        <v>217153</v>
      </c>
      <c r="I20" s="189"/>
      <c r="J20" s="189"/>
      <c r="K20" s="223"/>
    </row>
    <row r="21" spans="1:10" ht="12.75">
      <c r="A21" s="5"/>
      <c r="B21" s="11"/>
      <c r="C21" s="68"/>
      <c r="D21" s="68"/>
      <c r="E21" s="69"/>
      <c r="F21" s="69"/>
      <c r="G21" s="174"/>
      <c r="H21" s="268"/>
      <c r="J21" s="189"/>
    </row>
    <row r="22" spans="1:11" ht="11.25">
      <c r="A22" s="237" t="s">
        <v>613</v>
      </c>
      <c r="B22" s="11"/>
      <c r="C22" s="68">
        <v>4377838</v>
      </c>
      <c r="D22" s="68"/>
      <c r="E22" s="334">
        <f>18536443-C22-C22</f>
        <v>9780767</v>
      </c>
      <c r="F22" s="334">
        <f>14454480-C22</f>
        <v>10076642</v>
      </c>
      <c r="G22" s="355"/>
      <c r="H22" s="268">
        <f>+C22+D22+E22-F22+G22</f>
        <v>4081963</v>
      </c>
      <c r="I22" s="189"/>
      <c r="J22" s="189"/>
      <c r="K22" s="223"/>
    </row>
    <row r="23" spans="1:10" ht="12.75">
      <c r="A23" s="5"/>
      <c r="B23" s="11"/>
      <c r="C23" s="68"/>
      <c r="D23" s="68"/>
      <c r="E23" s="69"/>
      <c r="F23" s="69"/>
      <c r="G23" s="174"/>
      <c r="H23" s="268"/>
      <c r="J23" s="189"/>
    </row>
    <row r="24" spans="1:11" ht="11.25">
      <c r="A24" s="5" t="s">
        <v>464</v>
      </c>
      <c r="B24" s="11"/>
      <c r="C24" s="68">
        <v>71062</v>
      </c>
      <c r="D24" s="68"/>
      <c r="E24" s="69">
        <f>145791-C24-C24</f>
        <v>3667</v>
      </c>
      <c r="F24" s="69">
        <f>81610-C24</f>
        <v>10548</v>
      </c>
      <c r="G24" s="174"/>
      <c r="H24" s="268">
        <f>+C24+D24+E24-F24+G24</f>
        <v>64181</v>
      </c>
      <c r="I24" s="189"/>
      <c r="J24" s="189"/>
      <c r="K24" s="223"/>
    </row>
    <row r="25" spans="1:10" ht="10.5" customHeight="1">
      <c r="A25" s="5"/>
      <c r="B25" s="11"/>
      <c r="C25" s="68"/>
      <c r="D25" s="68"/>
      <c r="E25" s="69"/>
      <c r="F25" s="69"/>
      <c r="G25" s="174"/>
      <c r="H25" s="167"/>
      <c r="J25" s="189"/>
    </row>
    <row r="26" spans="1:11" ht="12.75">
      <c r="A26" s="5"/>
      <c r="B26" s="11"/>
      <c r="C26" s="68"/>
      <c r="D26" s="68"/>
      <c r="E26" s="69"/>
      <c r="F26" s="69"/>
      <c r="G26" s="174"/>
      <c r="H26" s="167"/>
      <c r="J26" s="189"/>
      <c r="K26" s="77"/>
    </row>
    <row r="27" spans="1:11" ht="11.25">
      <c r="A27" s="237" t="s">
        <v>646</v>
      </c>
      <c r="B27" s="11"/>
      <c r="C27" s="68">
        <v>574988</v>
      </c>
      <c r="D27" s="68"/>
      <c r="E27" s="69">
        <f>3236881-C27-C27</f>
        <v>2086905</v>
      </c>
      <c r="F27" s="69">
        <f>2642500-C27</f>
        <v>2067512</v>
      </c>
      <c r="G27" s="174"/>
      <c r="H27" s="167">
        <f>+C27+D27+E27-F27</f>
        <v>594381</v>
      </c>
      <c r="I27" s="189"/>
      <c r="J27" s="189"/>
      <c r="K27" s="77"/>
    </row>
    <row r="28" spans="1:10" ht="12.75">
      <c r="A28" s="5"/>
      <c r="B28" s="11"/>
      <c r="C28" s="68"/>
      <c r="D28" s="68"/>
      <c r="E28" s="69"/>
      <c r="F28" s="69"/>
      <c r="G28" s="174"/>
      <c r="H28" s="167"/>
      <c r="J28" s="83"/>
    </row>
    <row r="29" spans="1:10" s="2" customFormat="1" ht="15.75" customHeight="1" thickBot="1">
      <c r="A29" s="514" t="s">
        <v>269</v>
      </c>
      <c r="B29" s="515"/>
      <c r="C29" s="516">
        <f aca="true" t="shared" si="0" ref="C29:H29">SUM(C5:C28)</f>
        <v>61337402.77</v>
      </c>
      <c r="D29" s="516">
        <f t="shared" si="0"/>
        <v>0</v>
      </c>
      <c r="E29" s="516">
        <f t="shared" si="0"/>
        <v>468267374.46</v>
      </c>
      <c r="F29" s="516">
        <f t="shared" si="0"/>
        <v>483648718.63</v>
      </c>
      <c r="G29" s="516">
        <f t="shared" si="0"/>
        <v>0</v>
      </c>
      <c r="H29" s="517">
        <f t="shared" si="0"/>
        <v>45956058.600000024</v>
      </c>
      <c r="I29" s="518"/>
      <c r="J29" s="85"/>
    </row>
    <row r="30" spans="1:9" ht="12.75">
      <c r="A30" s="19"/>
      <c r="C30"/>
      <c r="H30" s="325"/>
      <c r="I30" s="86"/>
    </row>
    <row r="31" spans="3:8" ht="12.75">
      <c r="C31" s="273"/>
      <c r="H31" s="325"/>
    </row>
    <row r="32" ht="12.75">
      <c r="C32" s="273"/>
    </row>
    <row r="33" ht="12.75">
      <c r="C33" s="273"/>
    </row>
    <row r="34" spans="3:8" ht="12.75">
      <c r="C34" s="273"/>
      <c r="H34" s="247"/>
    </row>
    <row r="35" ht="12.75">
      <c r="C35" s="273"/>
    </row>
    <row r="36" spans="1:3" ht="12.75">
      <c r="A36" s="387"/>
      <c r="C36" s="273"/>
    </row>
    <row r="37" spans="1:3" ht="12.75">
      <c r="A37" s="387"/>
      <c r="C37" s="273"/>
    </row>
    <row r="38" spans="1:3" ht="12.75">
      <c r="A38" s="387"/>
      <c r="C38" s="247"/>
    </row>
    <row r="39" spans="1:3" ht="12.75">
      <c r="A39" s="387"/>
      <c r="C39" s="247"/>
    </row>
    <row r="40" spans="1:3" ht="12.75">
      <c r="A40" s="387"/>
      <c r="C40" s="247"/>
    </row>
    <row r="41" spans="1:3" ht="12.75">
      <c r="A41" s="387"/>
      <c r="C41" s="247"/>
    </row>
    <row r="42" spans="1:3" ht="12.75">
      <c r="A42" s="387"/>
      <c r="C42" s="247"/>
    </row>
    <row r="43" spans="1:3" ht="12.75">
      <c r="A43" s="387"/>
      <c r="C43" s="247"/>
    </row>
    <row r="44" spans="1:3" ht="12.75">
      <c r="A44" s="387"/>
      <c r="C44" s="247"/>
    </row>
    <row r="45" ht="12.75">
      <c r="C45" s="247"/>
    </row>
    <row r="46" ht="12.75">
      <c r="C46" s="247"/>
    </row>
    <row r="47" ht="12.75">
      <c r="C47" s="247"/>
    </row>
    <row r="48" ht="12.75">
      <c r="C48" s="247"/>
    </row>
    <row r="49" ht="12.75">
      <c r="C49" s="247"/>
    </row>
    <row r="50" ht="12.75">
      <c r="C50" s="247"/>
    </row>
    <row r="51" ht="12.75">
      <c r="C51" s="247"/>
    </row>
    <row r="52" ht="12.75">
      <c r="C52" s="247"/>
    </row>
    <row r="53" ht="12.75">
      <c r="C53" s="247"/>
    </row>
  </sheetData>
  <printOptions horizontalCentered="1" verticalCentered="1"/>
  <pageMargins left="0.2362204724409449" right="0.2362204724409449" top="0.984251968503937" bottom="0.984251968503937" header="0.5118110236220472" footer="0.5118110236220472"/>
  <pageSetup firstPageNumber="55" useFirstPageNumber="1" horizontalDpi="300" verticalDpi="300" orientation="landscape" paperSize="9" r:id="rId1"/>
  <headerFooter alignWithMargins="0">
    <oddHeader>&amp;CTabella N.I.4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97">
      <selection activeCell="A1" sqref="A1:G24"/>
    </sheetView>
  </sheetViews>
  <sheetFormatPr defaultColWidth="9.140625" defaultRowHeight="12.75"/>
  <cols>
    <col min="1" max="2" width="13.7109375" style="3" customWidth="1"/>
    <col min="3" max="3" width="15.8515625" style="3" customWidth="1"/>
    <col min="4" max="7" width="15.8515625" style="71" customWidth="1"/>
    <col min="8" max="8" width="12.140625" style="3" customWidth="1"/>
    <col min="9" max="10" width="10.7109375" style="3" bestFit="1" customWidth="1"/>
    <col min="11" max="11" width="9.421875" style="3" customWidth="1"/>
    <col min="12" max="12" width="9.140625" style="3" customWidth="1"/>
    <col min="13" max="13" width="11.28125" style="3" customWidth="1"/>
    <col min="14" max="16384" width="9.140625" style="3" customWidth="1"/>
  </cols>
  <sheetData>
    <row r="1" spans="1:7" s="14" customFormat="1" ht="11.25">
      <c r="A1" s="13" t="s">
        <v>101</v>
      </c>
      <c r="D1" s="83"/>
      <c r="E1" s="83"/>
      <c r="F1" s="83"/>
      <c r="G1" s="83"/>
    </row>
    <row r="2" spans="1:7" s="14" customFormat="1" ht="11.25">
      <c r="A2" s="13"/>
      <c r="D2" s="83"/>
      <c r="E2" s="83"/>
      <c r="F2" s="83"/>
      <c r="G2" s="83"/>
    </row>
    <row r="3" spans="1:7" s="14" customFormat="1" ht="11.25">
      <c r="A3" s="13" t="s">
        <v>270</v>
      </c>
      <c r="D3" s="83"/>
      <c r="E3" s="83"/>
      <c r="F3" s="83"/>
      <c r="G3" s="83"/>
    </row>
    <row r="4" spans="4:7" s="14" customFormat="1" ht="12" thickBot="1">
      <c r="D4" s="83"/>
      <c r="E4" s="83"/>
      <c r="F4" s="83"/>
      <c r="G4" s="83"/>
    </row>
    <row r="5" spans="1:7" s="14" customFormat="1" ht="13.5" customHeight="1" thickBot="1">
      <c r="A5" s="16" t="s">
        <v>271</v>
      </c>
      <c r="B5" s="17"/>
      <c r="C5" s="17"/>
      <c r="D5" s="72"/>
      <c r="E5" s="72"/>
      <c r="F5" s="72"/>
      <c r="G5" s="165"/>
    </row>
    <row r="6" spans="1:7" s="14" customFormat="1" ht="25.5" customHeight="1">
      <c r="A6" s="37" t="s">
        <v>229</v>
      </c>
      <c r="B6" s="47"/>
      <c r="C6" s="54" t="s">
        <v>232</v>
      </c>
      <c r="D6" s="74" t="s">
        <v>234</v>
      </c>
      <c r="E6" s="74" t="s">
        <v>282</v>
      </c>
      <c r="F6" s="74" t="s">
        <v>253</v>
      </c>
      <c r="G6" s="166" t="s">
        <v>235</v>
      </c>
    </row>
    <row r="7" spans="1:7" s="14" customFormat="1" ht="11.25">
      <c r="A7" s="5"/>
      <c r="B7" s="11"/>
      <c r="C7" s="9"/>
      <c r="D7" s="68"/>
      <c r="E7" s="69"/>
      <c r="F7" s="69"/>
      <c r="G7" s="167"/>
    </row>
    <row r="8" spans="1:7" s="14" customFormat="1" ht="11.25">
      <c r="A8" s="5" t="s">
        <v>272</v>
      </c>
      <c r="B8" s="11"/>
      <c r="C8" s="9">
        <v>250</v>
      </c>
      <c r="D8" s="68"/>
      <c r="E8" s="69"/>
      <c r="F8" s="69"/>
      <c r="G8" s="268">
        <f>+C8+D8+E8-F8</f>
        <v>250</v>
      </c>
    </row>
    <row r="9" spans="1:7" ht="12" thickBot="1">
      <c r="A9" s="7"/>
      <c r="B9" s="12"/>
      <c r="C9" s="10"/>
      <c r="D9" s="75"/>
      <c r="E9" s="168"/>
      <c r="F9" s="168"/>
      <c r="G9" s="169"/>
    </row>
    <row r="10" ht="12.75">
      <c r="C10"/>
    </row>
    <row r="13" ht="11.25">
      <c r="A13" s="2" t="s">
        <v>273</v>
      </c>
    </row>
    <row r="14" spans="1:7" ht="12" thickBot="1">
      <c r="A14" s="14"/>
      <c r="B14" s="14"/>
      <c r="C14" s="14"/>
      <c r="D14" s="83"/>
      <c r="E14" s="83"/>
      <c r="F14" s="83"/>
      <c r="G14" s="83"/>
    </row>
    <row r="15" spans="1:7" ht="12" thickBot="1">
      <c r="A15" s="16" t="s">
        <v>274</v>
      </c>
      <c r="B15" s="17"/>
      <c r="C15" s="17"/>
      <c r="D15" s="72"/>
      <c r="E15" s="72"/>
      <c r="F15" s="72"/>
      <c r="G15" s="165"/>
    </row>
    <row r="16" spans="1:8" ht="25.5" customHeight="1">
      <c r="A16" s="37" t="s">
        <v>229</v>
      </c>
      <c r="B16" s="47"/>
      <c r="C16" s="54" t="s">
        <v>232</v>
      </c>
      <c r="D16" s="74" t="s">
        <v>234</v>
      </c>
      <c r="E16" s="74" t="s">
        <v>282</v>
      </c>
      <c r="F16" s="74" t="s">
        <v>253</v>
      </c>
      <c r="G16" s="166" t="s">
        <v>235</v>
      </c>
      <c r="H16" s="252"/>
    </row>
    <row r="17" spans="1:7" ht="11.25">
      <c r="A17" s="5"/>
      <c r="B17" s="11"/>
      <c r="C17" s="9"/>
      <c r="D17" s="68"/>
      <c r="E17" s="69"/>
      <c r="F17" s="69"/>
      <c r="G17" s="167"/>
    </row>
    <row r="18" spans="1:10" s="264" customFormat="1" ht="11.25">
      <c r="A18" s="260" t="s">
        <v>275</v>
      </c>
      <c r="B18" s="265"/>
      <c r="C18" s="261">
        <v>26955</v>
      </c>
      <c r="D18" s="261"/>
      <c r="E18" s="625">
        <f>430656-C18</f>
        <v>403701</v>
      </c>
      <c r="F18" s="334">
        <v>430656</v>
      </c>
      <c r="G18" s="268">
        <f>+C18+D18+E18-F18</f>
        <v>0</v>
      </c>
      <c r="H18" s="189"/>
      <c r="I18" s="335"/>
      <c r="J18" s="335"/>
    </row>
    <row r="19" spans="1:10" ht="11.25">
      <c r="A19" s="5" t="s">
        <v>276</v>
      </c>
      <c r="B19" s="11"/>
      <c r="C19" s="68">
        <v>21769081</v>
      </c>
      <c r="D19" s="68"/>
      <c r="E19" s="69">
        <f>285518069-C19</f>
        <v>263748988</v>
      </c>
      <c r="F19" s="69">
        <v>265101309</v>
      </c>
      <c r="G19" s="167">
        <f>+C19+D19+E19-F19</f>
        <v>20416760</v>
      </c>
      <c r="H19" s="189"/>
      <c r="I19" s="335"/>
      <c r="J19" s="77"/>
    </row>
    <row r="20" spans="1:9" ht="12.75">
      <c r="A20" s="5" t="s">
        <v>277</v>
      </c>
      <c r="B20" s="11"/>
      <c r="C20" s="68"/>
      <c r="D20" s="68"/>
      <c r="E20" s="69"/>
      <c r="F20" s="69"/>
      <c r="G20" s="167"/>
      <c r="H20" s="86"/>
      <c r="I20"/>
    </row>
    <row r="21" spans="1:9" ht="12.75">
      <c r="A21" s="5" t="s">
        <v>278</v>
      </c>
      <c r="B21" s="11"/>
      <c r="C21" s="68"/>
      <c r="D21" s="68"/>
      <c r="E21" s="69"/>
      <c r="F21" s="69"/>
      <c r="G21" s="167"/>
      <c r="H21" s="86"/>
      <c r="I21"/>
    </row>
    <row r="22" spans="1:10" ht="11.25">
      <c r="A22" s="5" t="s">
        <v>279</v>
      </c>
      <c r="B22" s="11"/>
      <c r="C22" s="68">
        <v>1196366</v>
      </c>
      <c r="D22" s="68"/>
      <c r="E22" s="69">
        <f>3356829-C22</f>
        <v>2160463</v>
      </c>
      <c r="F22" s="69">
        <v>1914137</v>
      </c>
      <c r="G22" s="167">
        <f>+C22+D22+E22-F22</f>
        <v>1442692</v>
      </c>
      <c r="H22" s="189"/>
      <c r="I22" s="335"/>
      <c r="J22" s="77"/>
    </row>
    <row r="23" spans="1:8" ht="11.25">
      <c r="A23" s="5"/>
      <c r="B23" s="11"/>
      <c r="C23" s="68">
        <v>0</v>
      </c>
      <c r="D23" s="68"/>
      <c r="E23" s="69"/>
      <c r="F23" s="69"/>
      <c r="G23" s="167">
        <f>+C23+D23+E23-F23</f>
        <v>0</v>
      </c>
      <c r="H23" s="86"/>
    </row>
    <row r="24" spans="1:9" ht="12" thickBot="1">
      <c r="A24" s="7" t="s">
        <v>280</v>
      </c>
      <c r="B24" s="12"/>
      <c r="C24" s="81">
        <f>SUM(C18:C23)</f>
        <v>22992402</v>
      </c>
      <c r="D24" s="81">
        <f>SUM(D18:D23)</f>
        <v>0</v>
      </c>
      <c r="E24" s="81">
        <f>SUM(E18:E23)</f>
        <v>266313152</v>
      </c>
      <c r="F24" s="81">
        <f>SUM(F18:F23)</f>
        <v>267446102</v>
      </c>
      <c r="G24" s="501">
        <f>SUM(G18:G23)</f>
        <v>21859452</v>
      </c>
      <c r="H24" s="86"/>
      <c r="I24" s="77"/>
    </row>
    <row r="25" spans="3:9" ht="11.25">
      <c r="C25" s="77"/>
      <c r="I25" s="77"/>
    </row>
    <row r="26" ht="11.25">
      <c r="C26" s="77"/>
    </row>
    <row r="28" ht="11.25">
      <c r="F28" s="252"/>
    </row>
  </sheetData>
  <printOptions horizontalCentered="1" verticalCentered="1"/>
  <pageMargins left="0.2362204724409449" right="0.2362204724409449" top="0.984251968503937" bottom="0.984251968503937" header="0.5118110236220472" footer="0.5118110236220472"/>
  <pageSetup firstPageNumber="56" useFirstPageNumber="1" horizontalDpi="300" verticalDpi="300" orientation="landscape" paperSize="9" r:id="rId1"/>
  <headerFooter alignWithMargins="0">
    <oddHeader>&amp;CTabelle N.I.5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3">
      <selection activeCell="G34" sqref="G34"/>
    </sheetView>
  </sheetViews>
  <sheetFormatPr defaultColWidth="9.140625" defaultRowHeight="12.75"/>
  <cols>
    <col min="1" max="1" width="46.7109375" style="3" customWidth="1"/>
    <col min="2" max="2" width="15.7109375" style="3" customWidth="1"/>
    <col min="3" max="5" width="15.7109375" style="71" customWidth="1"/>
    <col min="6" max="6" width="11.421875" style="71" customWidth="1"/>
    <col min="7" max="7" width="15.7109375" style="71" customWidth="1"/>
    <col min="8" max="16384" width="9.140625" style="3" customWidth="1"/>
  </cols>
  <sheetData>
    <row r="1" spans="1:7" s="14" customFormat="1" ht="11.25">
      <c r="A1" s="13" t="s">
        <v>102</v>
      </c>
      <c r="C1" s="83"/>
      <c r="D1" s="83"/>
      <c r="E1" s="83"/>
      <c r="F1" s="83"/>
      <c r="G1" s="83"/>
    </row>
    <row r="2" ht="13.5" thickBot="1">
      <c r="C2" s="84"/>
    </row>
    <row r="3" spans="1:7" ht="13.5" customHeight="1" thickBot="1">
      <c r="A3" s="16" t="s">
        <v>281</v>
      </c>
      <c r="B3" s="17"/>
      <c r="C3" s="72"/>
      <c r="D3" s="72"/>
      <c r="E3" s="72"/>
      <c r="F3" s="72"/>
      <c r="G3" s="165"/>
    </row>
    <row r="4" spans="1:7" ht="33.75">
      <c r="A4" s="40" t="s">
        <v>229</v>
      </c>
      <c r="B4" s="54" t="s">
        <v>232</v>
      </c>
      <c r="C4" s="74" t="s">
        <v>234</v>
      </c>
      <c r="D4" s="74" t="s">
        <v>282</v>
      </c>
      <c r="E4" s="170" t="s">
        <v>283</v>
      </c>
      <c r="F4" s="348" t="s">
        <v>665</v>
      </c>
      <c r="G4" s="166" t="s">
        <v>235</v>
      </c>
    </row>
    <row r="5" spans="1:7" ht="11.25">
      <c r="A5" s="41"/>
      <c r="B5" s="9"/>
      <c r="C5" s="68"/>
      <c r="D5" s="68"/>
      <c r="E5" s="69"/>
      <c r="F5" s="69"/>
      <c r="G5" s="171"/>
    </row>
    <row r="6" spans="1:7" ht="11.25">
      <c r="A6" s="42" t="s">
        <v>284</v>
      </c>
      <c r="B6" s="9"/>
      <c r="C6" s="68"/>
      <c r="D6" s="68"/>
      <c r="E6" s="69"/>
      <c r="F6" s="69"/>
      <c r="G6" s="171"/>
    </row>
    <row r="7" spans="1:7" ht="11.25">
      <c r="A7" s="5" t="s">
        <v>285</v>
      </c>
      <c r="B7" s="68">
        <v>6018064</v>
      </c>
      <c r="C7" s="261">
        <v>6128867</v>
      </c>
      <c r="D7" s="68"/>
      <c r="E7" s="69">
        <v>581638</v>
      </c>
      <c r="F7" s="69"/>
      <c r="G7" s="171">
        <f>+B7+C7+D7-E7+F7</f>
        <v>11565293</v>
      </c>
    </row>
    <row r="8" spans="1:7" ht="11.25">
      <c r="A8" s="5" t="s">
        <v>286</v>
      </c>
      <c r="B8" s="68">
        <v>10604116</v>
      </c>
      <c r="C8" s="261">
        <v>-8483970</v>
      </c>
      <c r="D8" s="68"/>
      <c r="E8" s="69">
        <v>107499</v>
      </c>
      <c r="F8" s="69">
        <v>1</v>
      </c>
      <c r="G8" s="171">
        <f>+B8+C8+D8-E8+F8</f>
        <v>2012648</v>
      </c>
    </row>
    <row r="9" spans="1:7" ht="11.25">
      <c r="A9" s="5" t="s">
        <v>287</v>
      </c>
      <c r="B9" s="68">
        <v>809798</v>
      </c>
      <c r="C9" s="261">
        <v>-660883</v>
      </c>
      <c r="D9" s="68">
        <v>-35355</v>
      </c>
      <c r="E9" s="68">
        <v>7764</v>
      </c>
      <c r="F9" s="69">
        <v>1</v>
      </c>
      <c r="G9" s="171">
        <f>+B9+C9+D9-E9+F9</f>
        <v>105797</v>
      </c>
    </row>
    <row r="10" spans="1:7" ht="11.25">
      <c r="A10" s="5" t="s">
        <v>288</v>
      </c>
      <c r="B10" s="68">
        <v>1291493</v>
      </c>
      <c r="C10" s="261"/>
      <c r="D10" s="68"/>
      <c r="E10" s="68"/>
      <c r="F10" s="69"/>
      <c r="G10" s="171">
        <f>+B10+C10+D10-E10+F10</f>
        <v>1291493</v>
      </c>
    </row>
    <row r="11" spans="1:7" ht="11.25">
      <c r="A11" s="5" t="s">
        <v>289</v>
      </c>
      <c r="B11" s="68"/>
      <c r="C11" s="261"/>
      <c r="D11" s="68"/>
      <c r="E11" s="68"/>
      <c r="F11" s="69"/>
      <c r="G11" s="171"/>
    </row>
    <row r="12" spans="1:7" ht="11.25">
      <c r="A12" s="42"/>
      <c r="B12" s="68"/>
      <c r="C12" s="261"/>
      <c r="D12" s="68"/>
      <c r="E12" s="68"/>
      <c r="F12" s="69"/>
      <c r="G12" s="171"/>
    </row>
    <row r="13" spans="1:7" ht="11.25">
      <c r="A13" s="42" t="s">
        <v>290</v>
      </c>
      <c r="B13" s="68">
        <v>30126255</v>
      </c>
      <c r="C13" s="261">
        <v>4921004</v>
      </c>
      <c r="D13" s="68">
        <v>1379409</v>
      </c>
      <c r="E13" s="68">
        <f>10132+1753743</f>
        <v>1763875</v>
      </c>
      <c r="F13" s="69"/>
      <c r="G13" s="171">
        <f>+B13+C13+D13-E13+F13</f>
        <v>34662793</v>
      </c>
    </row>
    <row r="14" spans="1:7" ht="12.75">
      <c r="A14" s="43"/>
      <c r="B14" s="68"/>
      <c r="C14" s="261"/>
      <c r="D14" s="68"/>
      <c r="E14" s="68"/>
      <c r="F14" s="69"/>
      <c r="G14" s="171"/>
    </row>
    <row r="15" spans="1:7" ht="11.25">
      <c r="A15" s="42" t="s">
        <v>291</v>
      </c>
      <c r="B15" s="68">
        <v>846597</v>
      </c>
      <c r="C15" s="261">
        <v>-571453</v>
      </c>
      <c r="D15" s="68">
        <f>1936597-B15</f>
        <v>1090000</v>
      </c>
      <c r="E15" s="68">
        <f>20196+3230</f>
        <v>23426</v>
      </c>
      <c r="F15" s="69">
        <v>-1</v>
      </c>
      <c r="G15" s="171">
        <f>+B15+C15+D15-E15+F15</f>
        <v>1341717</v>
      </c>
    </row>
    <row r="16" spans="1:7" ht="11.25">
      <c r="A16" s="44"/>
      <c r="B16" s="68"/>
      <c r="C16" s="261"/>
      <c r="D16" s="68"/>
      <c r="E16" s="68"/>
      <c r="F16" s="69"/>
      <c r="G16" s="171"/>
    </row>
    <row r="17" spans="1:7" ht="11.25">
      <c r="A17" s="42" t="s">
        <v>292</v>
      </c>
      <c r="B17" s="68"/>
      <c r="C17" s="261"/>
      <c r="D17" s="68"/>
      <c r="E17" s="68"/>
      <c r="F17" s="69"/>
      <c r="G17" s="171"/>
    </row>
    <row r="18" spans="1:7" ht="11.25">
      <c r="A18" s="5" t="s">
        <v>293</v>
      </c>
      <c r="B18" s="68"/>
      <c r="C18" s="261"/>
      <c r="D18" s="68"/>
      <c r="E18" s="68"/>
      <c r="F18" s="69"/>
      <c r="G18" s="171"/>
    </row>
    <row r="19" spans="1:7" ht="11.25">
      <c r="A19" s="5" t="s">
        <v>294</v>
      </c>
      <c r="B19" s="68">
        <v>860104</v>
      </c>
      <c r="C19" s="261">
        <v>-786454</v>
      </c>
      <c r="D19" s="68">
        <f>883588-B19</f>
        <v>23484</v>
      </c>
      <c r="E19" s="68">
        <v>3759</v>
      </c>
      <c r="F19" s="69"/>
      <c r="G19" s="171">
        <f>+B19+C19+D19-E19</f>
        <v>93375</v>
      </c>
    </row>
    <row r="20" spans="1:7" ht="11.25">
      <c r="A20" s="45"/>
      <c r="B20" s="68"/>
      <c r="C20" s="261"/>
      <c r="D20" s="68"/>
      <c r="E20" s="68"/>
      <c r="F20" s="69"/>
      <c r="G20" s="171"/>
    </row>
    <row r="21" spans="1:7" ht="11.25">
      <c r="A21" s="42" t="s">
        <v>295</v>
      </c>
      <c r="B21" s="68">
        <v>75500</v>
      </c>
      <c r="C21" s="261"/>
      <c r="D21" s="68"/>
      <c r="E21" s="68"/>
      <c r="F21" s="69"/>
      <c r="G21" s="171">
        <f>+B21+C21+D21-E21</f>
        <v>75500</v>
      </c>
    </row>
    <row r="22" spans="1:7" ht="11.25">
      <c r="A22" s="41"/>
      <c r="B22" s="68"/>
      <c r="C22" s="261"/>
      <c r="D22" s="68"/>
      <c r="E22" s="69"/>
      <c r="F22" s="69"/>
      <c r="G22" s="171"/>
    </row>
    <row r="23" spans="1:7" ht="11.25">
      <c r="A23" s="41" t="s">
        <v>296</v>
      </c>
      <c r="B23" s="68"/>
      <c r="C23" s="261"/>
      <c r="D23" s="68"/>
      <c r="E23" s="69"/>
      <c r="F23" s="69"/>
      <c r="G23" s="171"/>
    </row>
    <row r="24" spans="1:7" ht="11.25">
      <c r="A24" s="41"/>
      <c r="B24" s="68"/>
      <c r="C24" s="261"/>
      <c r="D24" s="68"/>
      <c r="E24" s="69"/>
      <c r="F24" s="69"/>
      <c r="G24" s="171"/>
    </row>
    <row r="25" spans="1:7" ht="11.25">
      <c r="A25" s="41" t="s">
        <v>297</v>
      </c>
      <c r="B25" s="68">
        <v>0</v>
      </c>
      <c r="C25" s="261"/>
      <c r="D25" s="68"/>
      <c r="E25" s="69"/>
      <c r="F25" s="69"/>
      <c r="G25" s="171">
        <f>+B25+C25+D25-E25</f>
        <v>0</v>
      </c>
    </row>
    <row r="26" spans="1:7" s="264" customFormat="1" ht="11.25">
      <c r="A26" s="260" t="s">
        <v>298</v>
      </c>
      <c r="B26" s="261">
        <v>767318</v>
      </c>
      <c r="C26" s="261">
        <v>-547111</v>
      </c>
      <c r="D26" s="334">
        <f>829716-B26</f>
        <v>62398</v>
      </c>
      <c r="E26" s="334">
        <f>29009+720</f>
        <v>29729</v>
      </c>
      <c r="F26" s="334">
        <v>-2</v>
      </c>
      <c r="G26" s="336">
        <f>+B26+C26+D26-E26+F26</f>
        <v>252874</v>
      </c>
    </row>
    <row r="27" spans="1:7" s="264" customFormat="1" ht="11.25">
      <c r="A27" s="260" t="s">
        <v>299</v>
      </c>
      <c r="B27" s="261">
        <v>2828852</v>
      </c>
      <c r="C27" s="261"/>
      <c r="D27" s="261"/>
      <c r="E27" s="334"/>
      <c r="F27" s="334"/>
      <c r="G27" s="336">
        <f>+B27+D27-E27+F27</f>
        <v>2828852</v>
      </c>
    </row>
    <row r="28" spans="1:7" s="264" customFormat="1" ht="11.25">
      <c r="A28" s="315"/>
      <c r="B28" s="261"/>
      <c r="C28" s="261"/>
      <c r="D28" s="261"/>
      <c r="E28" s="334"/>
      <c r="F28" s="334"/>
      <c r="G28" s="336"/>
    </row>
    <row r="29" spans="1:7" s="264" customFormat="1" ht="11.25">
      <c r="A29" s="315" t="s">
        <v>300</v>
      </c>
      <c r="B29" s="261">
        <v>-9973536</v>
      </c>
      <c r="C29" s="261"/>
      <c r="D29" s="261"/>
      <c r="E29" s="334"/>
      <c r="F29" s="334"/>
      <c r="G29" s="336">
        <f>+B29+C29+D29-E29+F29</f>
        <v>-9973536</v>
      </c>
    </row>
    <row r="30" spans="1:7" s="264" customFormat="1" ht="11.25">
      <c r="A30" s="315"/>
      <c r="B30" s="261">
        <v>0</v>
      </c>
      <c r="C30" s="261"/>
      <c r="D30" s="261"/>
      <c r="E30" s="334"/>
      <c r="F30" s="334"/>
      <c r="G30" s="336">
        <f>+B30+C30+D30-E30+F30</f>
        <v>0</v>
      </c>
    </row>
    <row r="31" spans="1:7" ht="11.25">
      <c r="A31" s="639" t="s">
        <v>301</v>
      </c>
      <c r="B31" s="182">
        <v>1858724</v>
      </c>
      <c r="C31" s="182"/>
      <c r="D31" s="182">
        <v>297150</v>
      </c>
      <c r="E31" s="187">
        <v>1858724</v>
      </c>
      <c r="F31" s="187"/>
      <c r="G31" s="232">
        <f>+B31+C31+D31-E31</f>
        <v>297150</v>
      </c>
    </row>
    <row r="32" spans="1:7" ht="12" thickBot="1">
      <c r="A32" s="638"/>
      <c r="B32" s="82">
        <f>SUM(B6:B31)</f>
        <v>46113285</v>
      </c>
      <c r="C32" s="82">
        <f>SUM(C6:C31)</f>
        <v>0</v>
      </c>
      <c r="D32" s="82">
        <f>SUM(D6:D31)</f>
        <v>2817086</v>
      </c>
      <c r="E32" s="82">
        <f>SUM(E6:E31)</f>
        <v>4376414</v>
      </c>
      <c r="F32" s="82">
        <f>SUM(F6:F31)</f>
        <v>-1</v>
      </c>
      <c r="G32" s="502">
        <f>SUM(G7:G31)</f>
        <v>44553956</v>
      </c>
    </row>
    <row r="33" spans="1:7" ht="11.25">
      <c r="A33" s="377"/>
      <c r="B33" s="378"/>
      <c r="C33" s="378"/>
      <c r="D33" s="393"/>
      <c r="E33" s="395"/>
      <c r="F33" s="264"/>
      <c r="G33" s="393"/>
    </row>
  </sheetData>
  <printOptions horizontalCentered="1" verticalCentered="1"/>
  <pageMargins left="0.2362204724409449" right="0.2362204724409449" top="0.984251968503937" bottom="0.984251968503937" header="0.5118110236220472" footer="0.5118110236220472"/>
  <pageSetup firstPageNumber="57" useFirstPageNumber="1" horizontalDpi="300" verticalDpi="300" orientation="landscape" paperSize="9" r:id="rId1"/>
  <headerFooter alignWithMargins="0">
    <oddHeader>&amp;CTabella N.I.6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9"/>
  <sheetViews>
    <sheetView showGridLines="0" workbookViewId="0" topLeftCell="A7">
      <selection activeCell="F12" sqref="F12"/>
    </sheetView>
  </sheetViews>
  <sheetFormatPr defaultColWidth="9.140625" defaultRowHeight="12.75"/>
  <cols>
    <col min="1" max="1" width="29.00390625" style="3" customWidth="1"/>
    <col min="2" max="2" width="9.140625" style="3" customWidth="1"/>
    <col min="3" max="3" width="15.7109375" style="3" customWidth="1"/>
    <col min="4" max="6" width="15.7109375" style="71" customWidth="1"/>
    <col min="7" max="7" width="15.7109375" style="247" customWidth="1"/>
    <col min="8" max="8" width="15.8515625" style="3" customWidth="1"/>
    <col min="9" max="9" width="14.7109375" style="3" customWidth="1"/>
    <col min="10" max="16384" width="9.140625" style="3" customWidth="1"/>
  </cols>
  <sheetData>
    <row r="1" spans="1:3" ht="12.75">
      <c r="A1" s="13" t="s">
        <v>103</v>
      </c>
      <c r="C1"/>
    </row>
    <row r="2" spans="1:3" ht="12.75">
      <c r="A2" s="13" t="s">
        <v>302</v>
      </c>
      <c r="C2"/>
    </row>
    <row r="3" ht="13.5" thickBot="1">
      <c r="C3"/>
    </row>
    <row r="4" spans="1:7" ht="12" thickBot="1">
      <c r="A4" s="16" t="s">
        <v>303</v>
      </c>
      <c r="B4" s="17"/>
      <c r="C4" s="17"/>
      <c r="D4" s="72"/>
      <c r="E4" s="72"/>
      <c r="F4" s="72"/>
      <c r="G4" s="288"/>
    </row>
    <row r="5" spans="1:7" ht="26.25" customHeight="1">
      <c r="A5" s="37" t="s">
        <v>229</v>
      </c>
      <c r="B5" s="47"/>
      <c r="C5" s="54" t="s">
        <v>232</v>
      </c>
      <c r="D5" s="74" t="s">
        <v>234</v>
      </c>
      <c r="E5" s="74" t="s">
        <v>304</v>
      </c>
      <c r="F5" s="173" t="s">
        <v>305</v>
      </c>
      <c r="G5" s="290" t="s">
        <v>235</v>
      </c>
    </row>
    <row r="6" spans="1:8" ht="11.25">
      <c r="A6" s="5"/>
      <c r="B6" s="11"/>
      <c r="C6" s="68"/>
      <c r="D6" s="68"/>
      <c r="E6" s="69"/>
      <c r="F6" s="174"/>
      <c r="G6" s="560"/>
      <c r="H6" s="239"/>
    </row>
    <row r="7" spans="1:7" ht="11.25">
      <c r="A7" s="5" t="s">
        <v>306</v>
      </c>
      <c r="B7" s="11"/>
      <c r="C7" s="68"/>
      <c r="D7" s="68"/>
      <c r="E7" s="69"/>
      <c r="F7" s="174"/>
      <c r="G7" s="560"/>
    </row>
    <row r="8" spans="1:7" ht="11.25">
      <c r="A8" s="5"/>
      <c r="B8" s="11"/>
      <c r="C8" s="68"/>
      <c r="D8" s="68"/>
      <c r="E8" s="69"/>
      <c r="F8" s="174"/>
      <c r="G8" s="560"/>
    </row>
    <row r="9" spans="1:9" ht="11.25">
      <c r="A9" s="5" t="s">
        <v>307</v>
      </c>
      <c r="B9" s="11"/>
      <c r="C9" s="68"/>
      <c r="D9" s="68"/>
      <c r="E9" s="69"/>
      <c r="F9" s="174"/>
      <c r="G9" s="560"/>
      <c r="H9" s="563"/>
      <c r="I9" s="563"/>
    </row>
    <row r="10" spans="1:7" ht="11.25">
      <c r="A10" s="5" t="s">
        <v>308</v>
      </c>
      <c r="B10" s="11"/>
      <c r="C10" s="68"/>
      <c r="D10" s="68"/>
      <c r="E10" s="69"/>
      <c r="F10" s="174"/>
      <c r="G10" s="560"/>
    </row>
    <row r="11" spans="1:8" ht="11.25">
      <c r="A11" s="5" t="s">
        <v>309</v>
      </c>
      <c r="B11" s="11"/>
      <c r="C11" s="68">
        <v>1505371</v>
      </c>
      <c r="D11" s="68"/>
      <c r="E11" s="69">
        <v>308709</v>
      </c>
      <c r="F11" s="174">
        <f>127772+418625</f>
        <v>546397</v>
      </c>
      <c r="G11" s="560">
        <f>+C11+D11+E11-F11</f>
        <v>1267683</v>
      </c>
      <c r="H11" s="239"/>
    </row>
    <row r="12" spans="1:7" ht="11.25">
      <c r="A12" s="5" t="s">
        <v>310</v>
      </c>
      <c r="B12" s="11"/>
      <c r="C12" s="68"/>
      <c r="D12" s="68"/>
      <c r="E12" s="69"/>
      <c r="F12" s="174"/>
      <c r="G12" s="560"/>
    </row>
    <row r="13" spans="1:7" ht="11.25">
      <c r="A13" s="5"/>
      <c r="B13" s="11"/>
      <c r="C13" s="68"/>
      <c r="D13" s="68"/>
      <c r="E13" s="69"/>
      <c r="F13" s="174"/>
      <c r="G13" s="560"/>
    </row>
    <row r="14" spans="1:7" ht="11.25">
      <c r="A14" s="5" t="s">
        <v>311</v>
      </c>
      <c r="B14" s="11"/>
      <c r="C14" s="68"/>
      <c r="D14" s="68"/>
      <c r="E14" s="69"/>
      <c r="F14" s="174"/>
      <c r="G14" s="560"/>
    </row>
    <row r="15" spans="1:7" ht="11.25">
      <c r="A15" s="5"/>
      <c r="B15" s="11"/>
      <c r="C15" s="68"/>
      <c r="D15" s="68"/>
      <c r="E15" s="69"/>
      <c r="F15" s="174"/>
      <c r="G15" s="560"/>
    </row>
    <row r="16" spans="1:10" ht="11.25">
      <c r="A16" s="260" t="s">
        <v>312</v>
      </c>
      <c r="B16" s="265"/>
      <c r="C16" s="261">
        <v>787776</v>
      </c>
      <c r="D16" s="261"/>
      <c r="E16" s="334">
        <v>307828</v>
      </c>
      <c r="F16" s="355">
        <v>259664</v>
      </c>
      <c r="G16" s="561">
        <f>+C16+D16+E16-F16</f>
        <v>835940</v>
      </c>
      <c r="H16" s="239"/>
      <c r="I16" s="239"/>
      <c r="J16" s="252"/>
    </row>
    <row r="17" spans="1:7" ht="11.25">
      <c r="A17" s="5"/>
      <c r="B17" s="11"/>
      <c r="C17" s="68"/>
      <c r="D17" s="68"/>
      <c r="E17" s="69"/>
      <c r="F17" s="174"/>
      <c r="G17" s="560"/>
    </row>
    <row r="18" spans="1:7" ht="11.25">
      <c r="A18" s="5" t="s">
        <v>313</v>
      </c>
      <c r="B18" s="11"/>
      <c r="C18" s="68"/>
      <c r="D18" s="68"/>
      <c r="E18" s="69"/>
      <c r="F18" s="174"/>
      <c r="G18" s="560"/>
    </row>
    <row r="19" spans="1:10" ht="11.25">
      <c r="A19" s="5" t="s">
        <v>314</v>
      </c>
      <c r="B19" s="11"/>
      <c r="C19" s="68">
        <v>4088726</v>
      </c>
      <c r="D19" s="68"/>
      <c r="E19" s="69">
        <v>3178041</v>
      </c>
      <c r="F19" s="174">
        <v>3282106</v>
      </c>
      <c r="G19" s="560">
        <f aca="true" t="shared" si="0" ref="G19:G25">+C19+D19+E19-F19</f>
        <v>3984661</v>
      </c>
      <c r="I19" s="239"/>
      <c r="J19" s="239"/>
    </row>
    <row r="20" spans="1:7" ht="11.25">
      <c r="A20" s="5" t="s">
        <v>315</v>
      </c>
      <c r="B20" s="11"/>
      <c r="C20" s="68">
        <v>163272</v>
      </c>
      <c r="D20" s="68"/>
      <c r="E20" s="69">
        <v>70586</v>
      </c>
      <c r="F20" s="174">
        <v>129231</v>
      </c>
      <c r="G20" s="560">
        <f t="shared" si="0"/>
        <v>104627</v>
      </c>
    </row>
    <row r="21" spans="1:7" ht="11.25">
      <c r="A21" s="5" t="s">
        <v>617</v>
      </c>
      <c r="B21" s="11"/>
      <c r="C21" s="68">
        <v>1680728</v>
      </c>
      <c r="D21" s="68"/>
      <c r="E21" s="69">
        <v>465214</v>
      </c>
      <c r="F21" s="174">
        <v>60132</v>
      </c>
      <c r="G21" s="560">
        <f t="shared" si="0"/>
        <v>2085810</v>
      </c>
    </row>
    <row r="22" spans="1:7" ht="11.25">
      <c r="A22" s="5" t="s">
        <v>316</v>
      </c>
      <c r="B22" s="11"/>
      <c r="C22" s="68">
        <v>0</v>
      </c>
      <c r="D22" s="68"/>
      <c r="E22" s="69"/>
      <c r="F22" s="174"/>
      <c r="G22" s="560">
        <f t="shared" si="0"/>
        <v>0</v>
      </c>
    </row>
    <row r="23" spans="1:7" ht="11.25">
      <c r="A23" s="5" t="s">
        <v>317</v>
      </c>
      <c r="B23" s="11"/>
      <c r="C23" s="68">
        <v>10000</v>
      </c>
      <c r="D23" s="68"/>
      <c r="E23" s="69"/>
      <c r="F23" s="174">
        <v>10000</v>
      </c>
      <c r="G23" s="560">
        <f t="shared" si="0"/>
        <v>0</v>
      </c>
    </row>
    <row r="24" spans="1:9" s="264" customFormat="1" ht="11.25">
      <c r="A24" s="260" t="s">
        <v>318</v>
      </c>
      <c r="B24" s="265"/>
      <c r="C24" s="261">
        <v>192719</v>
      </c>
      <c r="D24" s="261"/>
      <c r="E24" s="334">
        <v>59000</v>
      </c>
      <c r="F24" s="355">
        <v>77954</v>
      </c>
      <c r="G24" s="561">
        <f t="shared" si="0"/>
        <v>173765</v>
      </c>
      <c r="H24" s="395"/>
      <c r="I24" s="395"/>
    </row>
    <row r="25" spans="1:10" ht="11.25">
      <c r="A25" s="5" t="s">
        <v>319</v>
      </c>
      <c r="B25" s="11"/>
      <c r="C25" s="68">
        <v>735721</v>
      </c>
      <c r="D25" s="68"/>
      <c r="E25" s="69">
        <v>310842</v>
      </c>
      <c r="F25" s="174">
        <v>548518</v>
      </c>
      <c r="G25" s="560">
        <f t="shared" si="0"/>
        <v>498045</v>
      </c>
      <c r="H25" s="239"/>
      <c r="I25" s="239"/>
      <c r="J25" s="239"/>
    </row>
    <row r="26" spans="1:10" ht="11.25">
      <c r="A26" s="5"/>
      <c r="B26" s="11"/>
      <c r="C26" s="68"/>
      <c r="D26" s="68"/>
      <c r="E26" s="69"/>
      <c r="F26" s="174"/>
      <c r="G26" s="560"/>
      <c r="H26" s="239"/>
      <c r="I26" s="239"/>
      <c r="J26" s="239"/>
    </row>
    <row r="27" spans="1:10" ht="11.25">
      <c r="A27" s="5" t="s">
        <v>21</v>
      </c>
      <c r="B27" s="11"/>
      <c r="C27" s="68"/>
      <c r="D27" s="68"/>
      <c r="E27" s="69"/>
      <c r="F27" s="174"/>
      <c r="G27" s="560"/>
      <c r="H27" s="239"/>
      <c r="I27" s="239"/>
      <c r="J27" s="239"/>
    </row>
    <row r="28" spans="1:10" s="264" customFormat="1" ht="11.25">
      <c r="A28" s="260" t="s">
        <v>320</v>
      </c>
      <c r="B28" s="265"/>
      <c r="C28" s="261">
        <v>2087965</v>
      </c>
      <c r="D28" s="261"/>
      <c r="E28" s="334">
        <v>346276</v>
      </c>
      <c r="F28" s="355">
        <v>877733</v>
      </c>
      <c r="G28" s="561">
        <f>+C28+D28+E28-F28</f>
        <v>1556508</v>
      </c>
      <c r="H28" s="239"/>
      <c r="I28" s="239"/>
      <c r="J28" s="239"/>
    </row>
    <row r="29" spans="1:10" ht="11.25">
      <c r="A29" s="5" t="s">
        <v>321</v>
      </c>
      <c r="B29" s="11"/>
      <c r="C29" s="68">
        <v>0</v>
      </c>
      <c r="D29" s="68"/>
      <c r="E29" s="69"/>
      <c r="F29" s="174"/>
      <c r="G29" s="560">
        <f>+C29+D29+E29-F29</f>
        <v>0</v>
      </c>
      <c r="H29" s="239"/>
      <c r="I29" s="239"/>
      <c r="J29" s="239"/>
    </row>
    <row r="30" spans="1:10" ht="11.25">
      <c r="A30" s="5" t="s">
        <v>618</v>
      </c>
      <c r="B30" s="11"/>
      <c r="C30" s="68">
        <v>545377</v>
      </c>
      <c r="D30" s="68"/>
      <c r="E30" s="69"/>
      <c r="F30" s="174">
        <v>206392</v>
      </c>
      <c r="G30" s="560">
        <f>+C30+D30+E30-F30</f>
        <v>338985</v>
      </c>
      <c r="H30" s="239"/>
      <c r="I30" s="239"/>
      <c r="J30" s="239"/>
    </row>
    <row r="31" spans="1:10" ht="11.25">
      <c r="A31" s="5"/>
      <c r="B31" s="11"/>
      <c r="C31" s="68"/>
      <c r="D31" s="68"/>
      <c r="E31" s="69"/>
      <c r="F31" s="174"/>
      <c r="G31" s="560"/>
      <c r="H31" s="239"/>
      <c r="I31" s="239"/>
      <c r="J31" s="239"/>
    </row>
    <row r="32" spans="1:10" ht="11.25">
      <c r="A32" s="5" t="s">
        <v>322</v>
      </c>
      <c r="B32" s="11"/>
      <c r="C32" s="68">
        <v>7248596</v>
      </c>
      <c r="D32" s="68"/>
      <c r="E32" s="69">
        <v>1922290</v>
      </c>
      <c r="F32" s="174">
        <v>1270952</v>
      </c>
      <c r="G32" s="560">
        <f>+C32+D32+E32-F32</f>
        <v>7899934</v>
      </c>
      <c r="H32" s="239"/>
      <c r="I32" s="239"/>
      <c r="J32" s="239"/>
    </row>
    <row r="33" spans="1:10" ht="11.25">
      <c r="A33" s="5"/>
      <c r="B33" s="11"/>
      <c r="C33" s="68"/>
      <c r="D33" s="68"/>
      <c r="E33" s="69"/>
      <c r="F33" s="174"/>
      <c r="G33" s="560"/>
      <c r="H33" s="239"/>
      <c r="I33" s="239"/>
      <c r="J33" s="239"/>
    </row>
    <row r="34" spans="1:10" ht="11.25">
      <c r="A34" s="5" t="s">
        <v>323</v>
      </c>
      <c r="B34" s="11"/>
      <c r="C34" s="68">
        <v>1621335</v>
      </c>
      <c r="D34" s="68"/>
      <c r="E34" s="69">
        <v>137788</v>
      </c>
      <c r="F34" s="174"/>
      <c r="G34" s="560">
        <f>+C34+D34+E34-F34</f>
        <v>1759123</v>
      </c>
      <c r="H34" s="239"/>
      <c r="I34" s="239"/>
      <c r="J34" s="239"/>
    </row>
    <row r="35" spans="1:10" ht="11.25">
      <c r="A35" s="5"/>
      <c r="B35" s="11"/>
      <c r="C35" s="68"/>
      <c r="D35" s="68"/>
      <c r="E35" s="69"/>
      <c r="F35" s="174"/>
      <c r="G35" s="560"/>
      <c r="H35" s="239"/>
      <c r="I35" s="239"/>
      <c r="J35" s="239"/>
    </row>
    <row r="36" spans="1:10" ht="11.25">
      <c r="A36" s="5" t="s">
        <v>665</v>
      </c>
      <c r="B36" s="11"/>
      <c r="C36" s="182">
        <v>0</v>
      </c>
      <c r="D36" s="182"/>
      <c r="E36" s="187"/>
      <c r="F36" s="187"/>
      <c r="G36" s="719">
        <v>0</v>
      </c>
      <c r="H36" s="239"/>
      <c r="I36" s="239"/>
      <c r="J36" s="239"/>
    </row>
    <row r="37" spans="1:10" ht="11.25">
      <c r="A37" s="5"/>
      <c r="B37" s="11"/>
      <c r="C37" s="68"/>
      <c r="D37" s="68"/>
      <c r="E37" s="69"/>
      <c r="F37" s="174"/>
      <c r="G37" s="560"/>
      <c r="H37" s="239"/>
      <c r="I37" s="239"/>
      <c r="J37" s="239"/>
    </row>
    <row r="38" spans="1:10" ht="12" thickBot="1">
      <c r="A38" s="720" t="s">
        <v>575</v>
      </c>
      <c r="B38" s="515"/>
      <c r="C38" s="721">
        <f>SUM(C6:C37)</f>
        <v>20667586</v>
      </c>
      <c r="D38" s="721">
        <f>SUM(D6:D37)</f>
        <v>0</v>
      </c>
      <c r="E38" s="721">
        <f>SUM(E6:E37)</f>
        <v>7106574</v>
      </c>
      <c r="F38" s="721">
        <f>SUM(F6:F37)</f>
        <v>7269079</v>
      </c>
      <c r="G38" s="722">
        <f>SUM(G6:G37)</f>
        <v>20505081</v>
      </c>
      <c r="H38" s="239"/>
      <c r="I38" s="239"/>
      <c r="J38" s="239"/>
    </row>
    <row r="39" spans="3:10" ht="11.25">
      <c r="C39" s="247"/>
      <c r="H39" s="239"/>
      <c r="I39" s="239"/>
      <c r="J39" s="239"/>
    </row>
    <row r="40" spans="3:10" ht="11.25">
      <c r="C40" s="77"/>
      <c r="H40" s="239"/>
      <c r="I40" s="239"/>
      <c r="J40" s="239"/>
    </row>
    <row r="41" spans="8:10" ht="11.25">
      <c r="H41" s="239"/>
      <c r="I41" s="239"/>
      <c r="J41" s="239"/>
    </row>
    <row r="42" ht="11.25">
      <c r="C42" s="77"/>
    </row>
    <row r="44" ht="11.25">
      <c r="F44" s="238"/>
    </row>
    <row r="45" ht="11.25">
      <c r="F45" s="238"/>
    </row>
    <row r="46" ht="11.25">
      <c r="F46" s="238"/>
    </row>
    <row r="47" ht="11.25">
      <c r="D47" s="238"/>
    </row>
    <row r="48" ht="11.25">
      <c r="D48" s="238"/>
    </row>
    <row r="49" ht="11.25">
      <c r="D49" s="252"/>
    </row>
  </sheetData>
  <printOptions horizontalCentered="1" verticalCentered="1"/>
  <pageMargins left="0.2362204724409449" right="0.2362204724409449" top="0.984251968503937" bottom="0.984251968503937" header="0.5118110236220472" footer="0.5118110236220472"/>
  <pageSetup firstPageNumber="58" useFirstPageNumber="1" horizontalDpi="300" verticalDpi="300" orientation="landscape" paperSize="9" r:id="rId1"/>
  <headerFooter alignWithMargins="0">
    <oddHeader>&amp;CTabella N.I.7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39">
      <selection activeCell="A1" sqref="A1:F68"/>
    </sheetView>
  </sheetViews>
  <sheetFormatPr defaultColWidth="9.140625" defaultRowHeight="12.75"/>
  <cols>
    <col min="1" max="1" width="46.7109375" style="264" customWidth="1"/>
    <col min="2" max="2" width="15.7109375" style="264" customWidth="1"/>
    <col min="3" max="3" width="13.57421875" style="267" customWidth="1"/>
    <col min="4" max="4" width="13.7109375" style="267" customWidth="1"/>
    <col min="5" max="5" width="11.8515625" style="267" customWidth="1"/>
    <col min="6" max="6" width="15.7109375" style="504" customWidth="1"/>
    <col min="7" max="7" width="10.140625" style="264" bestFit="1" customWidth="1"/>
    <col min="8" max="8" width="9.421875" style="264" customWidth="1"/>
    <col min="9" max="9" width="9.140625" style="264" customWidth="1"/>
    <col min="10" max="10" width="11.28125" style="264" customWidth="1"/>
    <col min="11" max="16384" width="9.140625" style="264" customWidth="1"/>
  </cols>
  <sheetData>
    <row r="1" spans="1:2" ht="12.75">
      <c r="A1" s="682" t="s">
        <v>45</v>
      </c>
      <c r="B1" s="298"/>
    </row>
    <row r="2" spans="1:4" ht="13.5" thickBot="1">
      <c r="A2" s="682" t="s">
        <v>302</v>
      </c>
      <c r="B2" s="298"/>
      <c r="D2" s="325"/>
    </row>
    <row r="3" spans="1:6" ht="12" thickBot="1">
      <c r="A3" s="683" t="s">
        <v>303</v>
      </c>
      <c r="B3" s="684"/>
      <c r="C3" s="685"/>
      <c r="D3" s="685"/>
      <c r="E3" s="685"/>
      <c r="F3" s="686"/>
    </row>
    <row r="4" spans="1:6" ht="26.25" customHeight="1">
      <c r="A4" s="687" t="s">
        <v>229</v>
      </c>
      <c r="B4" s="687" t="s">
        <v>232</v>
      </c>
      <c r="C4" s="687" t="s">
        <v>234</v>
      </c>
      <c r="D4" s="687" t="s">
        <v>304</v>
      </c>
      <c r="E4" s="687" t="s">
        <v>305</v>
      </c>
      <c r="F4" s="688" t="s">
        <v>235</v>
      </c>
    </row>
    <row r="5" spans="1:6" ht="11.25">
      <c r="A5" s="334" t="s">
        <v>666</v>
      </c>
      <c r="B5" s="334"/>
      <c r="C5" s="334"/>
      <c r="D5" s="334"/>
      <c r="E5" s="334"/>
      <c r="F5" s="256"/>
    </row>
    <row r="6" spans="1:7" ht="11.25">
      <c r="A6" s="334" t="s">
        <v>667</v>
      </c>
      <c r="B6" s="334"/>
      <c r="C6" s="334"/>
      <c r="D6" s="334"/>
      <c r="E6" s="334"/>
      <c r="F6" s="256"/>
      <c r="G6" s="335"/>
    </row>
    <row r="7" spans="1:7" ht="11.25">
      <c r="A7" s="334" t="s">
        <v>668</v>
      </c>
      <c r="B7" s="334">
        <v>239871</v>
      </c>
      <c r="C7" s="334"/>
      <c r="D7" s="334">
        <v>209126</v>
      </c>
      <c r="E7" s="334">
        <v>239871</v>
      </c>
      <c r="F7" s="256">
        <f>+B7+D7-E7</f>
        <v>209126</v>
      </c>
      <c r="G7" s="335"/>
    </row>
    <row r="8" spans="1:7" ht="11.25">
      <c r="A8" s="334" t="s">
        <v>669</v>
      </c>
      <c r="B8" s="334">
        <v>626710</v>
      </c>
      <c r="C8" s="334"/>
      <c r="D8" s="334">
        <v>166743</v>
      </c>
      <c r="E8" s="689"/>
      <c r="F8" s="256">
        <f aca="true" t="shared" si="0" ref="F8:F16">+B8+D8-E8</f>
        <v>793453</v>
      </c>
      <c r="G8" s="335"/>
    </row>
    <row r="9" spans="1:7" ht="11.25">
      <c r="A9" s="334" t="s">
        <v>408</v>
      </c>
      <c r="B9" s="334">
        <v>4839</v>
      </c>
      <c r="C9" s="334"/>
      <c r="D9" s="689">
        <v>3958</v>
      </c>
      <c r="E9" s="689"/>
      <c r="F9" s="256">
        <f t="shared" si="0"/>
        <v>8797</v>
      </c>
      <c r="G9" s="335"/>
    </row>
    <row r="10" spans="1:7" ht="11.25">
      <c r="A10" s="334" t="s">
        <v>762</v>
      </c>
      <c r="B10" s="334">
        <v>223398</v>
      </c>
      <c r="C10" s="334"/>
      <c r="D10" s="334">
        <v>236171.68</v>
      </c>
      <c r="E10" s="689">
        <v>137411</v>
      </c>
      <c r="F10" s="256">
        <f t="shared" si="0"/>
        <v>322158.68</v>
      </c>
      <c r="G10" s="335"/>
    </row>
    <row r="11" spans="1:7" ht="11.25">
      <c r="A11" s="334" t="s">
        <v>727</v>
      </c>
      <c r="B11" s="334">
        <v>934687</v>
      </c>
      <c r="C11" s="334"/>
      <c r="D11" s="334">
        <v>584345</v>
      </c>
      <c r="E11" s="689">
        <v>85784</v>
      </c>
      <c r="F11" s="256">
        <f t="shared" si="0"/>
        <v>1433248</v>
      </c>
      <c r="G11" s="335"/>
    </row>
    <row r="12" spans="1:7" ht="11.25">
      <c r="A12" s="334" t="s">
        <v>728</v>
      </c>
      <c r="B12" s="334">
        <v>12195</v>
      </c>
      <c r="C12" s="334"/>
      <c r="D12" s="334">
        <v>246</v>
      </c>
      <c r="E12" s="689">
        <v>12195</v>
      </c>
      <c r="F12" s="256">
        <f t="shared" si="0"/>
        <v>246</v>
      </c>
      <c r="G12" s="335"/>
    </row>
    <row r="13" spans="1:7" ht="11.25">
      <c r="A13" s="334" t="s">
        <v>838</v>
      </c>
      <c r="B13" s="334">
        <v>0</v>
      </c>
      <c r="C13" s="334"/>
      <c r="D13" s="334"/>
      <c r="E13" s="689"/>
      <c r="F13" s="256">
        <f t="shared" si="0"/>
        <v>0</v>
      </c>
      <c r="G13" s="335"/>
    </row>
    <row r="14" spans="1:7" ht="11.25">
      <c r="A14" s="334" t="s">
        <v>729</v>
      </c>
      <c r="B14" s="334">
        <v>72547</v>
      </c>
      <c r="C14" s="334"/>
      <c r="D14" s="334">
        <v>15000</v>
      </c>
      <c r="E14" s="689">
        <v>31105</v>
      </c>
      <c r="F14" s="256">
        <f t="shared" si="0"/>
        <v>56442</v>
      </c>
      <c r="G14" s="335"/>
    </row>
    <row r="15" spans="1:7" ht="11.25">
      <c r="A15" s="334" t="s">
        <v>839</v>
      </c>
      <c r="B15" s="334">
        <v>2250</v>
      </c>
      <c r="C15" s="334"/>
      <c r="D15" s="334"/>
      <c r="E15" s="689"/>
      <c r="F15" s="256">
        <f t="shared" si="0"/>
        <v>2250</v>
      </c>
      <c r="G15" s="335"/>
    </row>
    <row r="16" spans="1:7" ht="11.25">
      <c r="A16" s="334" t="s">
        <v>730</v>
      </c>
      <c r="B16" s="334">
        <v>220227</v>
      </c>
      <c r="C16" s="334"/>
      <c r="D16" s="334">
        <f>92917.42</f>
        <v>92917.42</v>
      </c>
      <c r="E16" s="689">
        <f>92404</f>
        <v>92404</v>
      </c>
      <c r="F16" s="256">
        <f t="shared" si="0"/>
        <v>220740.41999999998</v>
      </c>
      <c r="G16" s="335"/>
    </row>
    <row r="17" spans="1:7" ht="11.25">
      <c r="A17" s="690" t="s">
        <v>763</v>
      </c>
      <c r="B17" s="690">
        <v>2336724</v>
      </c>
      <c r="C17" s="690">
        <f>SUM(C7:C16)</f>
        <v>0</v>
      </c>
      <c r="D17" s="690">
        <f>SUM(D7:D16)</f>
        <v>1308507.0999999999</v>
      </c>
      <c r="E17" s="690">
        <f>SUM(E7:E16)</f>
        <v>598770</v>
      </c>
      <c r="F17" s="691">
        <f>SUM(F7:F16)</f>
        <v>3046461.0999999996</v>
      </c>
      <c r="G17" s="335"/>
    </row>
    <row r="18" spans="1:6" ht="11.25">
      <c r="A18" s="334"/>
      <c r="B18" s="334"/>
      <c r="C18" s="334"/>
      <c r="D18" s="334"/>
      <c r="E18" s="334"/>
      <c r="F18" s="256"/>
    </row>
    <row r="19" spans="1:7" ht="11.25">
      <c r="A19" s="334" t="s">
        <v>731</v>
      </c>
      <c r="B19" s="334"/>
      <c r="C19" s="334"/>
      <c r="D19" s="334"/>
      <c r="E19" s="334"/>
      <c r="F19" s="256"/>
      <c r="G19" s="335"/>
    </row>
    <row r="20" spans="1:7" ht="11.25">
      <c r="A20" s="334" t="s">
        <v>783</v>
      </c>
      <c r="B20" s="334">
        <v>178462.35</v>
      </c>
      <c r="C20" s="334"/>
      <c r="D20" s="334">
        <v>51853</v>
      </c>
      <c r="E20" s="334">
        <v>178462</v>
      </c>
      <c r="F20" s="256">
        <f aca="true" t="shared" si="1" ref="F20:F66">+B20+C20+D20-E20</f>
        <v>51853.350000000006</v>
      </c>
      <c r="G20" s="335"/>
    </row>
    <row r="21" spans="1:8" ht="11.25">
      <c r="A21" s="334" t="s">
        <v>782</v>
      </c>
      <c r="B21" s="334">
        <v>31065.4</v>
      </c>
      <c r="C21" s="334"/>
      <c r="D21" s="334">
        <v>1216</v>
      </c>
      <c r="E21" s="334"/>
      <c r="F21" s="256">
        <f t="shared" si="1"/>
        <v>32281.4</v>
      </c>
      <c r="G21" s="335"/>
      <c r="H21" s="335"/>
    </row>
    <row r="22" spans="1:7" ht="11.25">
      <c r="A22" s="334" t="s">
        <v>762</v>
      </c>
      <c r="B22" s="334">
        <v>142646</v>
      </c>
      <c r="C22" s="334"/>
      <c r="D22" s="334">
        <v>120073</v>
      </c>
      <c r="E22" s="689">
        <v>142646</v>
      </c>
      <c r="F22" s="256">
        <f t="shared" si="1"/>
        <v>120073</v>
      </c>
      <c r="G22" s="335"/>
    </row>
    <row r="23" spans="1:6" s="358" customFormat="1" ht="11.25">
      <c r="A23" s="334" t="s">
        <v>727</v>
      </c>
      <c r="B23" s="334">
        <v>11229.39</v>
      </c>
      <c r="C23" s="334"/>
      <c r="D23" s="334">
        <v>13229</v>
      </c>
      <c r="E23" s="689">
        <v>3000</v>
      </c>
      <c r="F23" s="256">
        <f t="shared" si="1"/>
        <v>21458.39</v>
      </c>
    </row>
    <row r="24" spans="1:6" s="358" customFormat="1" ht="11.25">
      <c r="A24" s="334" t="s">
        <v>761</v>
      </c>
      <c r="B24" s="334">
        <v>1500</v>
      </c>
      <c r="C24" s="334"/>
      <c r="D24" s="334">
        <v>750</v>
      </c>
      <c r="E24" s="689"/>
      <c r="F24" s="256">
        <f t="shared" si="1"/>
        <v>2250</v>
      </c>
    </row>
    <row r="25" spans="1:6" s="358" customFormat="1" ht="11.25">
      <c r="A25" s="334" t="s">
        <v>785</v>
      </c>
      <c r="B25" s="334">
        <v>-0.47999999999956344</v>
      </c>
      <c r="C25" s="334"/>
      <c r="D25" s="334"/>
      <c r="E25" s="689"/>
      <c r="F25" s="256">
        <f t="shared" si="1"/>
        <v>-0.47999999999956344</v>
      </c>
    </row>
    <row r="26" spans="1:6" ht="11.25">
      <c r="A26" s="334" t="s">
        <v>729</v>
      </c>
      <c r="B26" s="334">
        <v>10000</v>
      </c>
      <c r="C26" s="334"/>
      <c r="D26" s="334">
        <v>5000</v>
      </c>
      <c r="E26" s="689">
        <v>10000</v>
      </c>
      <c r="F26" s="256">
        <f t="shared" si="1"/>
        <v>5000</v>
      </c>
    </row>
    <row r="27" spans="1:7" ht="11.25">
      <c r="A27" s="334" t="s">
        <v>764</v>
      </c>
      <c r="B27" s="334">
        <v>35147.66</v>
      </c>
      <c r="C27" s="334"/>
      <c r="D27" s="334">
        <f>18011</f>
        <v>18011</v>
      </c>
      <c r="E27" s="334">
        <f>15573+15750</f>
        <v>31323</v>
      </c>
      <c r="F27" s="256">
        <f t="shared" si="1"/>
        <v>21835.660000000003</v>
      </c>
      <c r="G27" s="189"/>
    </row>
    <row r="28" spans="1:7" ht="11.25">
      <c r="A28" s="690" t="s">
        <v>765</v>
      </c>
      <c r="B28" s="690">
        <v>410050.32</v>
      </c>
      <c r="C28" s="690">
        <f>SUM(C20:C27)</f>
        <v>0</v>
      </c>
      <c r="D28" s="690">
        <f>SUM(D20:D27)</f>
        <v>210132</v>
      </c>
      <c r="E28" s="690">
        <f>SUM(E20:E27)</f>
        <v>365431</v>
      </c>
      <c r="F28" s="691">
        <f>SUM(F20:F27)</f>
        <v>254751.32</v>
      </c>
      <c r="G28" s="335"/>
    </row>
    <row r="29" spans="1:7" ht="11.25">
      <c r="A29" s="690"/>
      <c r="B29" s="690"/>
      <c r="C29" s="690"/>
      <c r="D29" s="690"/>
      <c r="E29" s="690"/>
      <c r="F29" s="692"/>
      <c r="G29" s="335"/>
    </row>
    <row r="30" spans="1:7" ht="12.75">
      <c r="A30" s="334" t="s">
        <v>784</v>
      </c>
      <c r="B30" s="334">
        <v>5000</v>
      </c>
      <c r="C30" s="334"/>
      <c r="D30" s="334">
        <v>5000</v>
      </c>
      <c r="E30" s="689">
        <v>5000</v>
      </c>
      <c r="F30" s="256">
        <f t="shared" si="1"/>
        <v>5000</v>
      </c>
      <c r="G30" s="298"/>
    </row>
    <row r="31" spans="1:7" ht="12.75">
      <c r="A31" s="334"/>
      <c r="B31" s="334"/>
      <c r="C31" s="334"/>
      <c r="D31" s="334"/>
      <c r="E31" s="334"/>
      <c r="F31" s="256"/>
      <c r="G31" s="298"/>
    </row>
    <row r="32" spans="1:7" ht="12.75">
      <c r="A32" s="334" t="s">
        <v>766</v>
      </c>
      <c r="B32" s="334"/>
      <c r="C32" s="334"/>
      <c r="D32" s="334"/>
      <c r="E32" s="334"/>
      <c r="F32" s="256"/>
      <c r="G32" s="298"/>
    </row>
    <row r="33" spans="1:7" ht="12.75">
      <c r="A33" s="334" t="s">
        <v>735</v>
      </c>
      <c r="B33" s="334">
        <v>1000</v>
      </c>
      <c r="C33" s="334"/>
      <c r="D33" s="334">
        <v>2500</v>
      </c>
      <c r="E33" s="689">
        <v>304</v>
      </c>
      <c r="F33" s="256">
        <f t="shared" si="1"/>
        <v>3196</v>
      </c>
      <c r="G33" s="298"/>
    </row>
    <row r="34" spans="1:7" ht="12.75">
      <c r="A34" s="334" t="s">
        <v>737</v>
      </c>
      <c r="B34" s="334">
        <v>2000.42</v>
      </c>
      <c r="C34" s="334"/>
      <c r="D34" s="334">
        <v>3000</v>
      </c>
      <c r="E34" s="689">
        <v>2000</v>
      </c>
      <c r="F34" s="256">
        <f t="shared" si="1"/>
        <v>3000.42</v>
      </c>
      <c r="G34" s="454"/>
    </row>
    <row r="35" spans="1:7" ht="13.5" customHeight="1">
      <c r="A35" s="334" t="s">
        <v>736</v>
      </c>
      <c r="B35" s="334">
        <v>178022.33</v>
      </c>
      <c r="C35" s="334"/>
      <c r="D35" s="334">
        <v>8553</v>
      </c>
      <c r="E35" s="689">
        <v>120607</v>
      </c>
      <c r="F35" s="256">
        <f>+B35+C35+D35-E35-159</f>
        <v>65809.32999999999</v>
      </c>
      <c r="G35" s="298"/>
    </row>
    <row r="36" spans="1:7" ht="13.5" customHeight="1">
      <c r="A36" s="334" t="s">
        <v>840</v>
      </c>
      <c r="B36" s="334">
        <v>8171</v>
      </c>
      <c r="C36" s="334"/>
      <c r="D36" s="334"/>
      <c r="E36" s="689">
        <v>4859</v>
      </c>
      <c r="F36" s="256">
        <f t="shared" si="1"/>
        <v>3312</v>
      </c>
      <c r="G36" s="693"/>
    </row>
    <row r="37" spans="1:7" ht="13.5" customHeight="1">
      <c r="A37" s="334" t="s">
        <v>44</v>
      </c>
      <c r="B37" s="334"/>
      <c r="C37" s="334"/>
      <c r="D37" s="334">
        <v>8000</v>
      </c>
      <c r="E37" s="689"/>
      <c r="F37" s="256">
        <f t="shared" si="1"/>
        <v>8000</v>
      </c>
      <c r="G37" s="693"/>
    </row>
    <row r="38" spans="1:7" ht="13.5" customHeight="1">
      <c r="A38" s="334" t="s">
        <v>738</v>
      </c>
      <c r="B38" s="334">
        <v>11367.74</v>
      </c>
      <c r="C38" s="334"/>
      <c r="D38" s="334">
        <v>3129</v>
      </c>
      <c r="E38" s="689">
        <v>159</v>
      </c>
      <c r="F38" s="256">
        <f t="shared" si="1"/>
        <v>14337.74</v>
      </c>
      <c r="G38" s="694"/>
    </row>
    <row r="39" spans="1:7" ht="12.75">
      <c r="A39" s="334" t="s">
        <v>739</v>
      </c>
      <c r="B39" s="334">
        <v>2000.19</v>
      </c>
      <c r="C39" s="334"/>
      <c r="D39" s="334">
        <v>1000</v>
      </c>
      <c r="E39" s="689">
        <v>6</v>
      </c>
      <c r="F39" s="256">
        <f t="shared" si="1"/>
        <v>2994.19</v>
      </c>
      <c r="G39" s="298"/>
    </row>
    <row r="40" spans="1:7" ht="12.75">
      <c r="A40" s="334" t="s">
        <v>760</v>
      </c>
      <c r="B40" s="334">
        <v>1000</v>
      </c>
      <c r="C40" s="334"/>
      <c r="D40" s="334">
        <v>6000</v>
      </c>
      <c r="E40" s="689">
        <v>186</v>
      </c>
      <c r="F40" s="256">
        <f t="shared" si="1"/>
        <v>6814</v>
      </c>
      <c r="G40" s="298"/>
    </row>
    <row r="41" spans="1:7" ht="12.75">
      <c r="A41" s="334" t="s">
        <v>841</v>
      </c>
      <c r="B41" s="334">
        <v>120483.44</v>
      </c>
      <c r="C41" s="334"/>
      <c r="D41" s="334"/>
      <c r="E41" s="689">
        <v>16347</v>
      </c>
      <c r="F41" s="256">
        <f t="shared" si="1"/>
        <v>104136.44</v>
      </c>
      <c r="G41" s="298"/>
    </row>
    <row r="42" spans="1:7" ht="12.75">
      <c r="A42" s="334" t="s">
        <v>44</v>
      </c>
      <c r="B42" s="334"/>
      <c r="C42" s="334"/>
      <c r="D42" s="334">
        <v>5500</v>
      </c>
      <c r="E42" s="689"/>
      <c r="F42" s="256">
        <f t="shared" si="1"/>
        <v>5500</v>
      </c>
      <c r="G42" s="298"/>
    </row>
    <row r="43" spans="1:7" ht="12.75">
      <c r="A43" s="334" t="s">
        <v>740</v>
      </c>
      <c r="B43" s="334">
        <v>6360.6</v>
      </c>
      <c r="C43" s="334"/>
      <c r="D43" s="334">
        <v>1774</v>
      </c>
      <c r="E43" s="689">
        <v>27</v>
      </c>
      <c r="F43" s="256">
        <f t="shared" si="1"/>
        <v>8107.6</v>
      </c>
      <c r="G43" s="298"/>
    </row>
    <row r="44" spans="1:8" ht="11.25">
      <c r="A44" s="690" t="s">
        <v>767</v>
      </c>
      <c r="B44" s="690">
        <f>SUM(B33:B43)</f>
        <v>330405.72</v>
      </c>
      <c r="C44" s="690">
        <f>SUM(C33:C43)</f>
        <v>0</v>
      </c>
      <c r="D44" s="690">
        <f>SUM(D33:D43)</f>
        <v>39456</v>
      </c>
      <c r="E44" s="690">
        <f>SUM(E33:E43)</f>
        <v>144495</v>
      </c>
      <c r="F44" s="692">
        <f>SUM(F33:F43)</f>
        <v>225207.72</v>
      </c>
      <c r="G44" s="335"/>
      <c r="H44" s="335"/>
    </row>
    <row r="45" spans="1:7" ht="11.25">
      <c r="A45" s="690"/>
      <c r="B45" s="690"/>
      <c r="C45" s="690"/>
      <c r="D45" s="690"/>
      <c r="E45" s="690"/>
      <c r="F45" s="692"/>
      <c r="G45" s="335"/>
    </row>
    <row r="46" spans="1:7" ht="11.25">
      <c r="A46" s="690" t="s">
        <v>768</v>
      </c>
      <c r="B46" s="690"/>
      <c r="C46" s="690"/>
      <c r="D46" s="690"/>
      <c r="E46" s="690"/>
      <c r="F46" s="692"/>
      <c r="G46" s="335"/>
    </row>
    <row r="47" spans="1:7" ht="12.75">
      <c r="A47" s="334" t="s">
        <v>670</v>
      </c>
      <c r="B47" s="334">
        <v>224954</v>
      </c>
      <c r="C47" s="334"/>
      <c r="D47" s="334">
        <f>95002.79</f>
        <v>95002.79</v>
      </c>
      <c r="E47" s="334">
        <v>105970.51</v>
      </c>
      <c r="F47" s="256">
        <f>+B47+C47+D47-E47</f>
        <v>213986.27999999997</v>
      </c>
      <c r="G47" s="693"/>
    </row>
    <row r="48" spans="1:7" ht="12.75">
      <c r="A48" s="334" t="s">
        <v>671</v>
      </c>
      <c r="B48" s="334">
        <v>18301.54</v>
      </c>
      <c r="C48" s="334"/>
      <c r="D48" s="334">
        <v>18302</v>
      </c>
      <c r="E48" s="334">
        <v>18302</v>
      </c>
      <c r="F48" s="256">
        <f t="shared" si="1"/>
        <v>18301.54</v>
      </c>
      <c r="G48" s="695"/>
    </row>
    <row r="49" spans="1:7" ht="12.75">
      <c r="A49" s="334" t="s">
        <v>672</v>
      </c>
      <c r="B49" s="334">
        <v>34500.46</v>
      </c>
      <c r="C49" s="334"/>
      <c r="D49" s="334">
        <v>8625.14</v>
      </c>
      <c r="E49" s="334">
        <v>17250</v>
      </c>
      <c r="F49" s="256">
        <f t="shared" si="1"/>
        <v>25875.6</v>
      </c>
      <c r="G49" s="694"/>
    </row>
    <row r="50" spans="1:7" ht="12.75">
      <c r="A50" s="334" t="s">
        <v>842</v>
      </c>
      <c r="B50" s="334">
        <v>41903.86</v>
      </c>
      <c r="C50" s="334"/>
      <c r="D50" s="334"/>
      <c r="E50" s="334">
        <v>7085.07</v>
      </c>
      <c r="F50" s="256">
        <f t="shared" si="1"/>
        <v>34818.79</v>
      </c>
      <c r="G50" s="694"/>
    </row>
    <row r="51" spans="1:7" ht="11.25">
      <c r="A51" s="690" t="s">
        <v>769</v>
      </c>
      <c r="B51" s="690">
        <v>319101.22</v>
      </c>
      <c r="C51" s="690">
        <f>SUM(C47:C50)</f>
        <v>0</v>
      </c>
      <c r="D51" s="690">
        <f>SUM(D47:D50)</f>
        <v>121929.93</v>
      </c>
      <c r="E51" s="690">
        <f>SUM(E47:E50)</f>
        <v>148607.58000000002</v>
      </c>
      <c r="F51" s="691">
        <f>SUM(F47:F50)</f>
        <v>292982.20999999996</v>
      </c>
      <c r="G51" s="335"/>
    </row>
    <row r="52" spans="1:7" ht="11.25">
      <c r="A52" s="690"/>
      <c r="B52" s="690"/>
      <c r="C52" s="690"/>
      <c r="D52" s="690"/>
      <c r="E52" s="690"/>
      <c r="F52" s="692"/>
      <c r="G52" s="335"/>
    </row>
    <row r="53" spans="1:7" ht="12.75">
      <c r="A53" s="334" t="s">
        <v>759</v>
      </c>
      <c r="B53" s="334">
        <v>239828</v>
      </c>
      <c r="C53" s="334"/>
      <c r="D53" s="334"/>
      <c r="E53" s="334"/>
      <c r="F53" s="256">
        <f t="shared" si="1"/>
        <v>239828</v>
      </c>
      <c r="G53" s="298"/>
    </row>
    <row r="54" spans="1:7" ht="12.75">
      <c r="A54" s="334"/>
      <c r="B54" s="334"/>
      <c r="C54" s="334"/>
      <c r="D54" s="334"/>
      <c r="E54" s="334"/>
      <c r="F54" s="256"/>
      <c r="G54" s="298"/>
    </row>
    <row r="55" spans="1:7" ht="12.75">
      <c r="A55" s="334" t="s">
        <v>127</v>
      </c>
      <c r="B55" s="334">
        <v>190659</v>
      </c>
      <c r="C55" s="334"/>
      <c r="D55" s="334">
        <v>212223</v>
      </c>
      <c r="E55" s="334"/>
      <c r="F55" s="256">
        <f t="shared" si="1"/>
        <v>402882</v>
      </c>
      <c r="G55" s="298"/>
    </row>
    <row r="56" spans="1:7" ht="12.75">
      <c r="A56" s="334"/>
      <c r="B56" s="334"/>
      <c r="C56" s="334"/>
      <c r="D56" s="334"/>
      <c r="E56" s="334"/>
      <c r="F56" s="256"/>
      <c r="G56" s="298"/>
    </row>
    <row r="57" spans="1:7" ht="12.75">
      <c r="A57" s="334" t="s">
        <v>685</v>
      </c>
      <c r="B57" s="334">
        <v>55910</v>
      </c>
      <c r="C57" s="334"/>
      <c r="D57" s="334"/>
      <c r="E57" s="334"/>
      <c r="F57" s="256">
        <f t="shared" si="1"/>
        <v>55910</v>
      </c>
      <c r="G57" s="298"/>
    </row>
    <row r="58" spans="1:7" ht="12.75">
      <c r="A58" s="334"/>
      <c r="B58" s="334"/>
      <c r="C58" s="334"/>
      <c r="D58" s="334"/>
      <c r="E58" s="334"/>
      <c r="F58" s="256"/>
      <c r="G58" s="298"/>
    </row>
    <row r="59" spans="1:7" ht="12.75">
      <c r="A59" s="334" t="s">
        <v>771</v>
      </c>
      <c r="B59" s="334"/>
      <c r="C59" s="334"/>
      <c r="D59" s="334"/>
      <c r="E59" s="334"/>
      <c r="F59" s="256"/>
      <c r="G59" s="298"/>
    </row>
    <row r="60" spans="1:7" ht="12.75">
      <c r="A60" s="334" t="s">
        <v>732</v>
      </c>
      <c r="B60" s="334">
        <v>621454</v>
      </c>
      <c r="C60" s="334"/>
      <c r="D60" s="334"/>
      <c r="E60" s="334"/>
      <c r="F60" s="256">
        <f t="shared" si="1"/>
        <v>621454</v>
      </c>
      <c r="G60" s="298"/>
    </row>
    <row r="61" spans="1:6" ht="11.25">
      <c r="A61" s="334" t="s">
        <v>733</v>
      </c>
      <c r="B61" s="334">
        <v>815464</v>
      </c>
      <c r="C61" s="334"/>
      <c r="D61" s="334"/>
      <c r="E61" s="334"/>
      <c r="F61" s="256">
        <f t="shared" si="1"/>
        <v>815464</v>
      </c>
    </row>
    <row r="62" spans="1:7" ht="11.25">
      <c r="A62" s="690" t="s">
        <v>770</v>
      </c>
      <c r="B62" s="690">
        <v>1436918</v>
      </c>
      <c r="C62" s="690">
        <f>SUM(C60:C61)</f>
        <v>0</v>
      </c>
      <c r="D62" s="690">
        <f>SUM(D60:D61)</f>
        <v>0</v>
      </c>
      <c r="E62" s="690">
        <f>SUM(E60:E61)</f>
        <v>0</v>
      </c>
      <c r="F62" s="691">
        <f>SUM(F60:F61)</f>
        <v>1436918</v>
      </c>
      <c r="G62" s="335"/>
    </row>
    <row r="63" spans="1:7" ht="13.5" customHeight="1">
      <c r="A63" s="690"/>
      <c r="B63" s="690"/>
      <c r="C63" s="690"/>
      <c r="D63" s="690"/>
      <c r="E63" s="690"/>
      <c r="F63" s="692"/>
      <c r="G63" s="335"/>
    </row>
    <row r="64" spans="1:7" ht="11.25">
      <c r="A64" s="689" t="s">
        <v>20</v>
      </c>
      <c r="B64" s="690">
        <v>1900000</v>
      </c>
      <c r="C64" s="690"/>
      <c r="D64" s="336"/>
      <c r="E64" s="690"/>
      <c r="F64" s="256">
        <f t="shared" si="1"/>
        <v>1900000</v>
      </c>
      <c r="G64" s="335"/>
    </row>
    <row r="65" spans="1:6" ht="11.25">
      <c r="A65" s="689" t="s">
        <v>131</v>
      </c>
      <c r="B65" s="689">
        <v>15513</v>
      </c>
      <c r="C65" s="689"/>
      <c r="D65" s="689">
        <v>15803</v>
      </c>
      <c r="E65" s="689"/>
      <c r="F65" s="256">
        <f t="shared" si="1"/>
        <v>31316</v>
      </c>
    </row>
    <row r="66" spans="1:6" ht="11.25">
      <c r="A66" s="334" t="s">
        <v>734</v>
      </c>
      <c r="B66" s="334">
        <v>8490</v>
      </c>
      <c r="C66" s="334"/>
      <c r="D66" s="334">
        <v>8680</v>
      </c>
      <c r="E66" s="334">
        <v>8490</v>
      </c>
      <c r="F66" s="256">
        <f t="shared" si="1"/>
        <v>8680</v>
      </c>
    </row>
    <row r="67" spans="1:6" ht="11.25">
      <c r="A67" s="696" t="s">
        <v>702</v>
      </c>
      <c r="B67" s="696">
        <v>-3</v>
      </c>
      <c r="C67" s="696"/>
      <c r="D67" s="696"/>
      <c r="E67" s="696"/>
      <c r="F67" s="696">
        <f>+B67+C67+D67-E67</f>
        <v>-3</v>
      </c>
    </row>
    <row r="68" spans="1:6" ht="12" thickBot="1">
      <c r="A68" s="697" t="s">
        <v>575</v>
      </c>
      <c r="B68" s="697">
        <v>7248596.26</v>
      </c>
      <c r="C68" s="697">
        <f>+C17+C28+C44+C51+C53+C55+C57+C62+C66+C67+C64+C30</f>
        <v>0</v>
      </c>
      <c r="D68" s="697">
        <f>+D17+D28+D44+D51+D53+D55+D57+D62+D66+D67+D64+D30+D65</f>
        <v>1921731.0299999998</v>
      </c>
      <c r="E68" s="697">
        <f>+E17+E28+E44+E51+E53+E55+E57+E62+E66+E67+E64+E30+E65</f>
        <v>1270793.58</v>
      </c>
      <c r="F68" s="697">
        <f>+F17+F28+F44+F51+F53+F55+F57+F62+F66+F67+F64+F30+F65</f>
        <v>7899933.35</v>
      </c>
    </row>
    <row r="69" ht="11.25">
      <c r="B69" s="335"/>
    </row>
    <row r="70" spans="1:2" ht="11.25">
      <c r="A70" s="698"/>
      <c r="B70" s="189"/>
    </row>
    <row r="71" spans="2:6" ht="11.25">
      <c r="B71" s="189"/>
      <c r="F71" s="189"/>
    </row>
    <row r="73" spans="2:4" ht="11.25">
      <c r="B73" s="189"/>
      <c r="D73" s="325"/>
    </row>
    <row r="74" ht="11.25">
      <c r="D74" s="325"/>
    </row>
    <row r="75" ht="11.25">
      <c r="D75" s="325"/>
    </row>
    <row r="76" ht="11.25">
      <c r="D76" s="325"/>
    </row>
    <row r="77" ht="11.25">
      <c r="D77" s="325"/>
    </row>
    <row r="78" ht="11.25">
      <c r="D78" s="325"/>
    </row>
    <row r="79" ht="11.25">
      <c r="D79" s="325"/>
    </row>
    <row r="80" ht="11.25">
      <c r="D80" s="325"/>
    </row>
    <row r="81" ht="11.25">
      <c r="D81" s="325"/>
    </row>
    <row r="82" ht="11.25">
      <c r="D82" s="325"/>
    </row>
    <row r="84" ht="11.25">
      <c r="D84" s="325"/>
    </row>
  </sheetData>
  <printOptions/>
  <pageMargins left="0.7" right="0.17" top="0.4" bottom="0.42" header="0.17" footer="0.18"/>
  <pageSetup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2015-06-30T09:00:59Z</cp:lastPrinted>
  <dcterms:created xsi:type="dcterms:W3CDTF">1997-11-12T14:09:19Z</dcterms:created>
  <dcterms:modified xsi:type="dcterms:W3CDTF">2015-09-28T10:13:32Z</dcterms:modified>
  <cp:category/>
  <cp:version/>
  <cp:contentType/>
  <cp:contentStatus/>
</cp:coreProperties>
</file>